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19"/>
  <workbookPr/>
  <mc:AlternateContent xmlns:mc="http://schemas.openxmlformats.org/markup-compatibility/2006">
    <mc:Choice Requires="x15">
      <x15ac:absPath xmlns:x15ac="http://schemas.microsoft.com/office/spreadsheetml/2010/11/ac" url="https://worksafenz-my.sharepoint.com/personal/noel_mccardle_worksafe_govt_nz/Documents/Documents/"/>
    </mc:Choice>
  </mc:AlternateContent>
  <xr:revisionPtr revIDLastSave="0" documentId="8_{869F774B-0032-4D4E-987B-1433A39663B0}" xr6:coauthVersionLast="47" xr6:coauthVersionMax="47" xr10:uidLastSave="{00000000-0000-0000-0000-000000000000}"/>
  <workbookProtection workbookAlgorithmName="SHA-512" workbookHashValue="caqozefWNyXvo6p29PW+GytTThzltDewbz0wUsOgantSfhPKMlCZQaJVw3pKuEa3SPdmv6g2GXxTt+U0wIGI7A==" workbookSaltValue="9Lq0UQ4472nPF8Q0cm7+Lg==" workbookSpinCount="100000" lockStructure="1"/>
  <bookViews>
    <workbookView xWindow="-120" yWindow="-120" windowWidth="29040" windowHeight="15840" xr2:uid="{00000000-000D-0000-FFFF-FFFF00000000}"/>
  </bookViews>
  <sheets>
    <sheet name="ReadMe" sheetId="1" r:id="rId1"/>
    <sheet name="Calculation Tool" sheetId="2" r:id="rId2"/>
    <sheet name="BackEnd" sheetId="3" state="hidden" r:id="rId3"/>
    <sheet name="Class3s4s" sheetId="4" state="hidden" r:id="rId4"/>
    <sheet name="Class5s" sheetId="5" state="hidden" r:id="rId5"/>
    <sheet name="Class6s8s" sheetId="6" state="hidden" r:id="rId6"/>
    <sheet name="Class9s" sheetId="7" state="hidden" r:id="rId7"/>
    <sheet name="SCS"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2" l="1"/>
  <c r="K59" i="2"/>
  <c r="E25" i="3"/>
  <c r="N26" i="3" s="1"/>
  <c r="E24" i="3"/>
  <c r="E20" i="3"/>
  <c r="N21" i="3" s="1"/>
  <c r="E19" i="3"/>
  <c r="E15" i="3"/>
  <c r="O16" i="3" s="1"/>
  <c r="E16" i="3"/>
  <c r="N16" i="3" s="1"/>
  <c r="E11" i="3"/>
  <c r="N11" i="3" s="1"/>
  <c r="E7" i="3"/>
  <c r="N7" i="3" s="1"/>
  <c r="E10" i="3"/>
  <c r="E6" i="3"/>
  <c r="E2" i="3"/>
  <c r="E3" i="3"/>
  <c r="N3" i="3" s="1"/>
  <c r="L26" i="3"/>
  <c r="M26" i="3" s="1"/>
  <c r="L25" i="3"/>
  <c r="L24" i="3"/>
  <c r="L21" i="3"/>
  <c r="M21" i="3" s="1"/>
  <c r="L19" i="3"/>
  <c r="L20" i="3"/>
  <c r="L16" i="3"/>
  <c r="M16" i="3" s="1"/>
  <c r="L15" i="3"/>
  <c r="O15" i="3" s="1"/>
  <c r="K74" i="2"/>
  <c r="K84" i="2"/>
  <c r="L11" i="3"/>
  <c r="M11" i="3" s="1"/>
  <c r="L10" i="3"/>
  <c r="O10" i="3" s="1"/>
  <c r="L6" i="3"/>
  <c r="O6" i="3" s="1"/>
  <c r="L7" i="3"/>
  <c r="M7" i="3" s="1"/>
  <c r="L2" i="3"/>
  <c r="L3" i="3"/>
  <c r="M3" i="3" s="1"/>
  <c r="C48" i="3"/>
  <c r="C45" i="3"/>
  <c r="C39" i="3"/>
  <c r="C44" i="3"/>
  <c r="C47" i="3"/>
  <c r="C50" i="3"/>
  <c r="C43" i="3"/>
  <c r="C25" i="3"/>
  <c r="C35" i="3"/>
  <c r="C32" i="3"/>
  <c r="C30" i="3"/>
  <c r="C28" i="3"/>
  <c r="C26" i="3"/>
  <c r="C16" i="3"/>
  <c r="C24" i="3"/>
  <c r="C23" i="3"/>
  <c r="C22" i="3"/>
  <c r="C21" i="3"/>
  <c r="C20" i="3"/>
  <c r="C19" i="3"/>
  <c r="C2" i="3"/>
  <c r="C13" i="3"/>
  <c r="C11" i="3"/>
  <c r="C9" i="3"/>
  <c r="C6" i="3"/>
  <c r="C4" i="3"/>
  <c r="C3" i="3"/>
  <c r="J98" i="2"/>
  <c r="J100" i="2" s="1"/>
  <c r="O2" i="3" l="1"/>
  <c r="R2" i="3" s="1"/>
  <c r="E44" i="2" s="1"/>
  <c r="O7" i="3"/>
  <c r="O3" i="3"/>
  <c r="O11" i="3"/>
  <c r="M20" i="3"/>
  <c r="O19" i="3" s="1"/>
  <c r="N25" i="3"/>
  <c r="O25" i="3" s="1"/>
  <c r="M25" i="3"/>
  <c r="O24" i="3" s="1"/>
  <c r="N20" i="3"/>
  <c r="O20" i="3" s="1"/>
  <c r="C52" i="3"/>
  <c r="A29" i="2" s="1"/>
  <c r="R4" i="3" l="1"/>
  <c r="R17" i="3"/>
  <c r="R3" i="3"/>
  <c r="R16" i="3"/>
  <c r="R15" i="3"/>
  <c r="L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tc={98B82B6B-25BE-4399-AB77-AE0C52286B15}</author>
    <author>tc={15AF3A40-250D-4F68-8D63-F1A3C1074359}</author>
    <author>tc={B9899987-6BE4-4274-8FD1-0DFBB8534544}</author>
    <author>tc={8907466F-BA09-4ED9-9BC6-38E833383A3E}</author>
    <author>tc={C04F9AC5-2034-4BB0-B354-4D75CDE060D5}</author>
  </authors>
  <commentList>
    <comment ref="A1" authorId="0" shapeId="0" xr:uid="{98B82B6B-25BE-4399-AB77-AE0C52286B15}">
      <text>
        <t>[Threaded comment]
Your version of Excel allows you to read this threaded comment; however, any edits to it will get removed if the file is opened in a newer version of Excel. Learn more: https://go.microsoft.com/fwlink/?linkid=870924
Comment:
    Regulations 10.30, 12.13, 12.38 and 13.30 of the Health and Safety at Work (Hazardous Substances) Regulations 2017
Clause 41 of the Hazardous Substances (Hazardous Property Controls) Notice 2017</t>
      </text>
    </comment>
    <comment ref="A31" authorId="1" shapeId="0" xr:uid="{15AF3A40-250D-4F68-8D63-F1A3C1074359}">
      <text>
        <t>[Threaded comment]
Your version of Excel allows you to read this threaded comment; however, any edits to it will get removed if the file is opened in a newer version of Excel. Learn more: https://go.microsoft.com/fwlink/?linkid=870924
Comment:
    Regulations 10.30 - 10.33, 12.13 - 12.16, 12.38 - 12.41 and 13.30 - 13.33 of the Health and Safety at Work (Hazardous Substances) Regulations 2017</t>
      </text>
    </comment>
    <comment ref="A50" authorId="2" shapeId="0" xr:uid="{B9899987-6BE4-4274-8FD1-0DFBB8534544}">
      <text>
        <t>[Threaded comment]
Your version of Excel allows you to read this threaded comment; however, any edits to it will get removed if the file is opened in a newer version of Excel. Learn more: https://go.microsoft.com/fwlink/?linkid=870924
Comment:
    Regulations 10.30, 12.13, 12.38, 13.30 and 17.100-17.102 of the Health and Safety at Work (Hazardous Substances) Regulations 2017</t>
      </text>
    </comment>
    <comment ref="A68" authorId="3" shapeId="0" xr:uid="{8907466F-BA09-4ED9-9BC6-38E833383A3E}">
      <text>
        <t>[Threaded comment]
Your version of Excel allows you to read this threaded comment; however, any edits to it will get removed if the file is opened in a newer version of Excel. Learn more: https://go.microsoft.com/fwlink/?linkid=870924
Comment:
    Regulations 10.33, 12.16, 12.41 and 13.33 of the Health and Safety at Work (Hazardous Substances) Regulations 2017</t>
      </text>
    </comment>
    <comment ref="A78" authorId="4" shapeId="0" xr:uid="{C04F9AC5-2034-4BB0-B354-4D75CDE060D5}">
      <text>
        <t>[Threaded comment]
Your version of Excel allows you to read this threaded comment; however, any edits to it will get removed if the file is opened in a newer version of Excel. Learn more: https://go.microsoft.com/fwlink/?linkid=870924
Comment:
    Regulations 10.33, 12.41 and 13.33 of the Health and Safety at Work (Hazardous Substances) Regulations 2017</t>
      </text>
    </comment>
  </commentList>
</comments>
</file>

<file path=xl/sharedStrings.xml><?xml version="1.0" encoding="utf-8"?>
<sst xmlns="http://schemas.openxmlformats.org/spreadsheetml/2006/main" count="514" uniqueCount="196">
  <si>
    <t>Hazardous Substances - Calculation of Secondary Containment</t>
  </si>
  <si>
    <t>This spreadsheet is designed to assist users in calculating the secondary containment capacity needed for pooling hazardous substances. These secondary containment requirements are calculated in accordance with the Health and Safety at Work (Hazardous Substances) Regulations 2017 (the Regulations).</t>
  </si>
  <si>
    <t>Worksheets</t>
  </si>
  <si>
    <t>This spreadsheet contains the following worksheets:</t>
  </si>
  <si>
    <r>
      <rPr>
        <i/>
        <sz val="11"/>
        <color theme="1"/>
        <rFont val="Calibri"/>
        <family val="2"/>
        <scheme val="minor"/>
      </rPr>
      <t>Read Me</t>
    </r>
    <r>
      <rPr>
        <sz val="11"/>
        <color theme="1"/>
        <rFont val="Calibri"/>
        <family val="2"/>
        <scheme val="minor"/>
      </rPr>
      <t xml:space="preserve"> – This worksheet sets out a general introduction and disclaimer.  The information in this worksheet must be read carefully before the Calculations worksheet is used.</t>
    </r>
  </si>
  <si>
    <r>
      <rPr>
        <i/>
        <sz val="11"/>
        <color theme="1"/>
        <rFont val="Calibri"/>
        <family val="2"/>
        <scheme val="minor"/>
      </rPr>
      <t>Calculation Tool</t>
    </r>
    <r>
      <rPr>
        <sz val="11"/>
        <color theme="1"/>
        <rFont val="Calibri"/>
        <family val="2"/>
        <scheme val="minor"/>
      </rPr>
      <t xml:space="preserve"> – This is the active worksheet in which secondary containment (if applicable) is calculated based on data input from the user.</t>
    </r>
  </si>
  <si>
    <t>Disclaimer</t>
  </si>
  <si>
    <t xml:space="preserve">This spreadsheet (including the Calculation Tool) is a guideline only, intended to assist users in calculating secondary containment in relation to a set quantity of hazardous substances of a certain set of classifications.  </t>
  </si>
  <si>
    <t>All reasonable measures have been undertaken to ensure the information and the underpinning algorithms used in this spreadsheet, including the calculation of secondary containment, are reliable. WorkSafe New Zealand:</t>
  </si>
  <si>
    <t xml:space="preserve">       •makes no warranty, express or implied, nor assumes any legal liability or responsibility for the accuracy, correctness, completeness or use of any information or algorithms available on or throughout this spreadsheet.</t>
  </si>
  <si>
    <t xml:space="preserve">       •	accepts no liability for:</t>
  </si>
  <si>
    <t xml:space="preserve">              • any loss or damage which may arise from the use of this spreadsheet, including any decision or action taken on the basis of information contained in or calculated through its Calculation Tool</t>
  </si>
  <si>
    <t xml:space="preserve">              • any errors or omissions in the spreadsheet</t>
  </si>
  <si>
    <t xml:space="preserve">              • the accuracy of any information, including calculations, obtained through the use of this spreadsheet</t>
  </si>
  <si>
    <t xml:space="preserve">       •	may change, delete, add to, or otherwise amend  the contents of this spreadsheet (including but not limited to the underpinning algorithms in the Calculation Tool) at any time without notice.</t>
  </si>
  <si>
    <t>This information, the Calculation Tool and the secondary containment requirements calculated should not be used as a substitute for legislation or professional advice (including but not limited to business advice, or legal advice). All secondary containment requirements should be checked and calculated against the requirements of the Regulations and other health and safety legislation in the context of the user's circumstances.</t>
  </si>
  <si>
    <t xml:space="preserve">By using this spreadsheet, the user acknowledges that the results are not exact and may not always hold true or be relevant to the user's situation. In particular, the Calculation Tool does not provide any determination of the total pooling potential of substances held on site.  This must be determined on an individual basis, using the relevant criteria specified in the Health and Safety at Work (Hazardous Substances) Regulations 2017.  </t>
  </si>
  <si>
    <t>Prepared by</t>
  </si>
  <si>
    <t>WorkSafe New Zealand, 86 Customhouse Quay, Wellington</t>
  </si>
  <si>
    <t>Prepared:   17 July 2023</t>
  </si>
  <si>
    <t>Is secondary containment required?</t>
  </si>
  <si>
    <t xml:space="preserve">Use this section of the Calculation Tool to determine whether or not you are required to have secondary containment in place. </t>
  </si>
  <si>
    <t>Tan cells:</t>
  </si>
  <si>
    <t>Please enter the quantities of pooling substances according to their hazard classifications. Quantities of substances that have the same hazard classification have to be added together.</t>
  </si>
  <si>
    <t>Green cells:</t>
  </si>
  <si>
    <t>Shows whether or not secondary containment is required.</t>
  </si>
  <si>
    <t>Notes:</t>
  </si>
  <si>
    <t xml:space="preserve">       •	The Calculation Tool uses the HSNO classifications system as the Health and Safety at Work (Hazardous Substances) Regulations 2017 refers to these classifications. If the information you have uses the GHS classification system, you can use a conversion table, available on www.epa.govt.nz, to convert to the HSNO classification system.</t>
  </si>
  <si>
    <t>Link to EPA's HSNO-GHS7 Correlation Table</t>
  </si>
  <si>
    <t xml:space="preserve">       •	If a substance has multiple classifications, its volume needs to be entered against each of these classifications listed below to ensure an accurate result.</t>
  </si>
  <si>
    <t xml:space="preserve">       •	Exclusions apply to certain facilities or substances (for example, fuel on farms, Type 1-3 workrooms, Type A-D stores). A compliance certifier may be able to provide further details on these exclusions.</t>
  </si>
  <si>
    <t>To assess whether your pooling substances require secondary containment, enter the quantities (in kg or L) of pooling substances located in the respective place within your workplace.</t>
  </si>
  <si>
    <t>3.1A</t>
  </si>
  <si>
    <t>L</t>
  </si>
  <si>
    <t>4.1.2A</t>
  </si>
  <si>
    <t>5.1.1A</t>
  </si>
  <si>
    <t>6.1A</t>
  </si>
  <si>
    <t>8.2A</t>
  </si>
  <si>
    <t>3.1B</t>
  </si>
  <si>
    <t>4.1.2B</t>
  </si>
  <si>
    <t>5.1.1B</t>
  </si>
  <si>
    <t>6.1B</t>
  </si>
  <si>
    <t>8.2B</t>
  </si>
  <si>
    <t>3.1C</t>
  </si>
  <si>
    <t>4.1.2C</t>
  </si>
  <si>
    <t>5.1.1C</t>
  </si>
  <si>
    <t>6.1C</t>
  </si>
  <si>
    <t>8.2C</t>
  </si>
  <si>
    <t>3.1D</t>
  </si>
  <si>
    <t>4.1.2D</t>
  </si>
  <si>
    <t>5.2A</t>
  </si>
  <si>
    <t>6.1D</t>
  </si>
  <si>
    <t>8.3A</t>
  </si>
  <si>
    <t>3.2A</t>
  </si>
  <si>
    <t>4.1.2E</t>
  </si>
  <si>
    <t>5.2B</t>
  </si>
  <si>
    <t>6.5A</t>
  </si>
  <si>
    <t>3.2B</t>
  </si>
  <si>
    <t>4.1.2F</t>
  </si>
  <si>
    <t>5.2C</t>
  </si>
  <si>
    <t>6.5B</t>
  </si>
  <si>
    <t>9.1A</t>
  </si>
  <si>
    <t>3.2C</t>
  </si>
  <si>
    <t>4.1.2G</t>
  </si>
  <si>
    <t>5.2D</t>
  </si>
  <si>
    <t>6.6A</t>
  </si>
  <si>
    <t>9.1B</t>
  </si>
  <si>
    <t>4.1.3A</t>
  </si>
  <si>
    <t>5.2E</t>
  </si>
  <si>
    <t>6.7A</t>
  </si>
  <si>
    <t>9.1C</t>
  </si>
  <si>
    <t>4.1.3B</t>
  </si>
  <si>
    <t>5.2F</t>
  </si>
  <si>
    <t>6.7B</t>
  </si>
  <si>
    <t>9.1D</t>
  </si>
  <si>
    <t>4.1.3C</t>
  </si>
  <si>
    <t>6.8A</t>
  </si>
  <si>
    <t>4.2A</t>
  </si>
  <si>
    <t>6.9A</t>
  </si>
  <si>
    <t>4.3A</t>
  </si>
  <si>
    <t>4.3B</t>
  </si>
  <si>
    <t xml:space="preserve"> </t>
  </si>
  <si>
    <t>4.3C</t>
  </si>
  <si>
    <t>Calculation of secondary containment for packaged substances</t>
  </si>
  <si>
    <t xml:space="preserve">Use this section of the Calculation Tool to determine the required secondary containment if your pooling substances are held in drums, intermediary bulk containers (IBCs) or other packages other than tanks. </t>
  </si>
  <si>
    <t>Enter the aggregate quantity of all containers in the relevant container size bracket in the cells on the left</t>
  </si>
  <si>
    <r>
      <t xml:space="preserve">For substances that are </t>
    </r>
    <r>
      <rPr>
        <u/>
        <sz val="11"/>
        <color theme="1"/>
        <rFont val="Calibri"/>
        <family val="2"/>
        <scheme val="minor"/>
      </rPr>
      <t>only</t>
    </r>
    <r>
      <rPr>
        <sz val="11"/>
        <color theme="1"/>
        <rFont val="Calibri"/>
        <family val="2"/>
        <scheme val="minor"/>
      </rPr>
      <t xml:space="preserve"> toxic, corrosive or ecotoxic (classes 6,8 and/or 9), and have no other hazard classification, enter the size of the largest container in the respective size bracket in the cells on the right. </t>
    </r>
  </si>
  <si>
    <t>Shows the size of the secondary containment required.</t>
  </si>
  <si>
    <t>Total pooling potential in containers:</t>
  </si>
  <si>
    <r>
      <t xml:space="preserve">Please provide further details if the pooling substances </t>
    </r>
    <r>
      <rPr>
        <u/>
        <sz val="11"/>
        <color theme="1"/>
        <rFont val="Calibri"/>
        <family val="2"/>
        <scheme val="minor"/>
      </rPr>
      <t>only</t>
    </r>
    <r>
      <rPr>
        <sz val="11"/>
        <color theme="1"/>
        <rFont val="Calibri"/>
        <family val="2"/>
        <scheme val="minor"/>
      </rPr>
      <t xml:space="preserve"> have a class 6, 8 or 9 hazard classifications.</t>
    </r>
  </si>
  <si>
    <t>Of 60 L in size or less</t>
  </si>
  <si>
    <t>Of sizes greater than 60 L up to 450 L</t>
  </si>
  <si>
    <r>
      <t xml:space="preserve">Size of the largest container in the 60 L &lt; Container </t>
    </r>
    <r>
      <rPr>
        <sz val="11"/>
        <color theme="1"/>
        <rFont val="Calibri"/>
        <family val="2"/>
      </rPr>
      <t>≤ 450 L bracket</t>
    </r>
  </si>
  <si>
    <t>Of sizes greater than 450 L</t>
  </si>
  <si>
    <r>
      <t xml:space="preserve">Size of the largest container in the &gt; </t>
    </r>
    <r>
      <rPr>
        <sz val="11"/>
        <color theme="1"/>
        <rFont val="Calibri"/>
        <family val="2"/>
      </rPr>
      <t>450 L bracket</t>
    </r>
  </si>
  <si>
    <t>Required secondary containment</t>
  </si>
  <si>
    <t>(If no class 1-5 classifications)</t>
  </si>
  <si>
    <t>Note:</t>
  </si>
  <si>
    <t xml:space="preserve">       •	There may be multiple places within the workplace that might require secondary containment and each needs to be assessed individually.
</t>
  </si>
  <si>
    <t xml:space="preserve">       •	WorkSafe’s position is that the ‘sum of each container category’ means the total of the secondary containment capacities required by regulations 10.31, 10.32 and/or 10.33 (or equivalents for the respective classes) when they are added together.</t>
  </si>
  <si>
    <t>Calculation of secondary containment for substances contained in stationary container systems</t>
  </si>
  <si>
    <t xml:space="preserve">Use this section of the Calculation Tool to determine the required secondary containment for pooling substances that are contained in stationary container systems. Depending on the nature of the installation, this may be just one single stationary tank or may be multiple tanks and process vessels grouped together. </t>
  </si>
  <si>
    <t>For a below ground stationary container system, enter the total pooling potential.</t>
  </si>
  <si>
    <t>For an above ground stationary container system, enter the water capacity of the largest container in the system.</t>
  </si>
  <si>
    <r>
      <t xml:space="preserve">If it is a </t>
    </r>
    <r>
      <rPr>
        <b/>
        <sz val="11"/>
        <color theme="1"/>
        <rFont val="Calibri"/>
        <family val="2"/>
        <scheme val="minor"/>
      </rPr>
      <t xml:space="preserve">below ground </t>
    </r>
    <r>
      <rPr>
        <sz val="11"/>
        <color theme="1"/>
        <rFont val="Calibri"/>
        <family val="2"/>
        <scheme val="minor"/>
      </rPr>
      <t>stationary container system:</t>
    </r>
  </si>
  <si>
    <t>What is the total pooling potential?</t>
  </si>
  <si>
    <r>
      <t xml:space="preserve">If it is an </t>
    </r>
    <r>
      <rPr>
        <b/>
        <sz val="11"/>
        <color theme="1"/>
        <rFont val="Calibri"/>
        <family val="2"/>
        <scheme val="minor"/>
      </rPr>
      <t>above ground</t>
    </r>
    <r>
      <rPr>
        <sz val="11"/>
        <color theme="1"/>
        <rFont val="Calibri"/>
        <family val="2"/>
        <scheme val="minor"/>
      </rPr>
      <t xml:space="preserve"> stationary container system:</t>
    </r>
  </si>
  <si>
    <t>What is the water capacity of the largest container?</t>
  </si>
  <si>
    <t xml:space="preserve">       •	The secondary containment requirement may vary from the value stated above, as relevant safe work instruments may modify the secondary containment requirements.  A compliance certifier may be able to provide further information.
</t>
  </si>
  <si>
    <t xml:space="preserve">       •	Special rules apply to large-scale installations storing flammable liquids. A compliance certifier may be able to provide further information.</t>
  </si>
  <si>
    <t xml:space="preserve">       •	Some stationary container systems may already come with secondary containment, e.g. double-skinned tanks. </t>
  </si>
  <si>
    <t>Calculation of secondary containment for substances contained in portable tanks</t>
  </si>
  <si>
    <t xml:space="preserve">Use this section of the Calculation Tool to determine the required secondary containment for pooling substances that are contained in portable tanks. </t>
  </si>
  <si>
    <t>Enter the water capacity of the largest portable tank located in the relevant place within the workplace.</t>
  </si>
  <si>
    <t>Shows the size of secondary containment required.</t>
  </si>
  <si>
    <t>What is the water capacity of the largest portable tank located in the place at the workplace?</t>
  </si>
  <si>
    <t xml:space="preserve">       •	There may be multiple places within the workplace that might require secondary containment and each will need to be assessed separately.</t>
  </si>
  <si>
    <t>Calculation of secondary containment contained in tank wagons</t>
  </si>
  <si>
    <t xml:space="preserve">Use this section of the Calculation Tool to determine the required secondary containment for pooling substances that are contained in a tank wagon. </t>
  </si>
  <si>
    <t>Enter the water capacity of the largest compartment of the tank wagon.</t>
  </si>
  <si>
    <t>What is the water capacity of the largest compartment of the tank wagon?</t>
  </si>
  <si>
    <t xml:space="preserve">Notes: </t>
  </si>
  <si>
    <t xml:space="preserve">       •	This calculation will need to be performed for each tank wagon individually.</t>
  </si>
  <si>
    <t xml:space="preserve">       •	This calculation does not apply to tank wagons transporting class 5.1.1A-C substances.</t>
  </si>
  <si>
    <t xml:space="preserve">Calculation of secondary containment capacity </t>
  </si>
  <si>
    <t>Use this sectionn of the Calculation Tool  to:</t>
  </si>
  <si>
    <t xml:space="preserve">       •	calculate the water capacity of existing stationary containment, or</t>
  </si>
  <si>
    <t xml:space="preserve">       •	check whether the dimensions of a planned secondary containment system are sufficient.</t>
  </si>
  <si>
    <t>The calculations assume that the bunded area is rectangular in shape and kept empty.</t>
  </si>
  <si>
    <t>Please enter the dimensions of the bunded area.</t>
  </si>
  <si>
    <t>Shows the maximum volume of bunded area and the equivalent water capacity.</t>
  </si>
  <si>
    <t>Length:</t>
  </si>
  <si>
    <t>m</t>
  </si>
  <si>
    <t>Maximum volume contained by bunded area:</t>
  </si>
  <si>
    <r>
      <t>m</t>
    </r>
    <r>
      <rPr>
        <vertAlign val="superscript"/>
        <sz val="11"/>
        <color theme="1"/>
        <rFont val="Calibri"/>
        <family val="2"/>
        <scheme val="minor"/>
      </rPr>
      <t>3</t>
    </r>
  </si>
  <si>
    <t>Width:</t>
  </si>
  <si>
    <t>Height:</t>
  </si>
  <si>
    <t>Maximum water capacity in litres:</t>
  </si>
  <si>
    <t xml:space="preserve">       •	Any equipment within the bunded area may reduce the free volume of space available, impacting its overall capacity.</t>
  </si>
  <si>
    <t xml:space="preserve">       •	Bunded areas should be checked regularly for cracks and to ensure that they are well maintained and do not contain rain water or any other substances that may reduce the available secondary containment capacity to quantities below the required levels.</t>
  </si>
  <si>
    <t>Classification</t>
  </si>
  <si>
    <t>Threshold</t>
  </si>
  <si>
    <t>exceeded?</t>
  </si>
  <si>
    <t>red = different definiton of total pooling potential</t>
  </si>
  <si>
    <t>Calculate</t>
  </si>
  <si>
    <t>check what is greater/applies</t>
  </si>
  <si>
    <t>Requirement per category</t>
  </si>
  <si>
    <t>Total</t>
  </si>
  <si>
    <t>less than 5000</t>
  </si>
  <si>
    <t>Method 3</t>
  </si>
  <si>
    <t>more than 5000</t>
  </si>
  <si>
    <t>Method 2</t>
  </si>
  <si>
    <t>Method 1</t>
  </si>
  <si>
    <t>&lt; 20000</t>
  </si>
  <si>
    <t>≥ 20000</t>
  </si>
  <si>
    <t>Checksum</t>
  </si>
  <si>
    <t>If 1 or more</t>
  </si>
  <si>
    <t>You require secondary containment.</t>
  </si>
  <si>
    <t>If 0</t>
  </si>
  <si>
    <t>You are below the thresholds required to establish secondary containment.</t>
  </si>
  <si>
    <t>Regulatory Framework</t>
  </si>
  <si>
    <t>Packages</t>
  </si>
  <si>
    <t>(additive)</t>
  </si>
  <si>
    <t>AG Tank</t>
  </si>
  <si>
    <t>BG Tank</t>
  </si>
  <si>
    <t>Packaged Substances</t>
  </si>
  <si>
    <t>Containers of 60L or less</t>
  </si>
  <si>
    <t>Pooling Potential</t>
  </si>
  <si>
    <t>&lt; 5000</t>
  </si>
  <si>
    <t>≥ 5000</t>
  </si>
  <si>
    <t>Greater of these values</t>
  </si>
  <si>
    <t>2500L</t>
  </si>
  <si>
    <t>Containers more than 60L up to (including) 450L</t>
  </si>
  <si>
    <t>5000L</t>
  </si>
  <si>
    <t>Containers more than 450L</t>
  </si>
  <si>
    <t xml:space="preserve">For Portable Tanks </t>
  </si>
  <si>
    <t>For Tank Wagons</t>
  </si>
  <si>
    <t>of largest compartment</t>
  </si>
  <si>
    <t>5.1 substances</t>
  </si>
  <si>
    <t>5.2 substances</t>
  </si>
  <si>
    <t>No class 1-5 classification</t>
  </si>
  <si>
    <t>of largest container</t>
  </si>
  <si>
    <t>clause 41 HPC Notice</t>
  </si>
  <si>
    <t>Enabling Reg</t>
  </si>
  <si>
    <t>Same thresholds apply as for packaged substances</t>
  </si>
  <si>
    <t>Below Ground Tank</t>
  </si>
  <si>
    <t>BG tank</t>
  </si>
  <si>
    <t>of total pooling potential</t>
  </si>
  <si>
    <t>Above Ground Tank</t>
  </si>
  <si>
    <t>If Capacity of AG Tank is at least 250L</t>
  </si>
  <si>
    <t>SWI</t>
  </si>
  <si>
    <t>Waiver</t>
  </si>
  <si>
    <t>not less than 100%</t>
  </si>
  <si>
    <t>If 3.1</t>
  </si>
  <si>
    <t>Subdivisions and intermediate secondary containment available</t>
  </si>
  <si>
    <t>Treated as special rule / exception - certifier to advise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</si>
</sst>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font>
      <sz val="11"/>
      <color theme="1"/>
      <name val="Calibri"/>
      <family val="2"/>
      <scheme val="minor"/>
    </font>
    <font>
      <b/>
      <sz val="11"/>
      <color theme="1"/>
      <name val="Calibri"/>
      <family val="2"/>
      <scheme val="minor"/>
    </font>
    <font>
      <b/>
      <sz val="26"/>
      <color theme="1"/>
      <name val="Calibri"/>
      <family val="2"/>
      <scheme val="minor"/>
    </font>
    <font>
      <i/>
      <sz val="11"/>
      <color theme="1"/>
      <name val="Calibri"/>
      <family val="2"/>
      <scheme val="minor"/>
    </font>
    <font>
      <b/>
      <sz val="16"/>
      <color theme="1"/>
      <name val="Calibri"/>
      <family val="2"/>
      <scheme val="minor"/>
    </font>
    <font>
      <vertAlign val="superscript"/>
      <sz val="11"/>
      <color theme="1"/>
      <name val="Calibri"/>
      <family val="2"/>
      <scheme val="minor"/>
    </font>
    <font>
      <sz val="11"/>
      <color theme="1"/>
      <name val="Calibri"/>
      <family val="2"/>
    </font>
    <font>
      <u/>
      <sz val="11"/>
      <color theme="1"/>
      <name val="Calibri"/>
      <family val="2"/>
      <scheme val="minor"/>
    </font>
    <font>
      <sz val="11"/>
      <color rgb="FFFF0000"/>
      <name val="Calibri"/>
      <family val="2"/>
      <scheme val="minor"/>
    </font>
    <font>
      <sz val="11"/>
      <color theme="4"/>
      <name val="Calibri"/>
      <family val="2"/>
      <scheme val="minor"/>
    </font>
    <font>
      <u/>
      <sz val="11"/>
      <color theme="10"/>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9" tint="0.39997558519241921"/>
        <bgColor indexed="64"/>
      </patternFill>
    </fill>
  </fills>
  <borders count="2">
    <border>
      <left/>
      <right/>
      <top/>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31">
    <xf numFmtId="0" fontId="0" fillId="0" borderId="0" xfId="0"/>
    <xf numFmtId="0" fontId="2" fillId="0" borderId="0" xfId="0" applyFont="1"/>
    <xf numFmtId="0" fontId="0" fillId="0" borderId="0" xfId="0" applyAlignment="1">
      <alignment wrapText="1"/>
    </xf>
    <xf numFmtId="0" fontId="1" fillId="0" borderId="0" xfId="0" applyFont="1"/>
    <xf numFmtId="0" fontId="0" fillId="0" borderId="0" xfId="0" applyAlignment="1">
      <alignment vertical="center"/>
    </xf>
    <xf numFmtId="0" fontId="0" fillId="0" borderId="0" xfId="0" applyAlignment="1">
      <alignment vertical="center" wrapText="1"/>
    </xf>
    <xf numFmtId="0" fontId="0" fillId="0" borderId="0" xfId="0" applyAlignment="1">
      <alignment horizontal="left" wrapText="1"/>
    </xf>
    <xf numFmtId="0" fontId="0" fillId="0" borderId="0" xfId="0" applyAlignment="1">
      <alignment horizontal="center"/>
    </xf>
    <xf numFmtId="2" fontId="0" fillId="0" borderId="0" xfId="0" applyNumberFormat="1"/>
    <xf numFmtId="0" fontId="0" fillId="0" borderId="0" xfId="0" applyAlignment="1">
      <alignment horizontal="center" vertical="center"/>
    </xf>
    <xf numFmtId="164" fontId="0" fillId="0" borderId="0" xfId="0" applyNumberFormat="1"/>
    <xf numFmtId="9" fontId="0" fillId="0" borderId="0" xfId="0" applyNumberFormat="1"/>
    <xf numFmtId="0" fontId="6" fillId="0" borderId="0" xfId="0" applyFont="1"/>
    <xf numFmtId="0" fontId="0" fillId="0" borderId="1" xfId="0" applyBorder="1"/>
    <xf numFmtId="9" fontId="0" fillId="0" borderId="1" xfId="0" applyNumberFormat="1" applyBorder="1"/>
    <xf numFmtId="0" fontId="8" fillId="0" borderId="0" xfId="0" applyFont="1"/>
    <xf numFmtId="0" fontId="9" fillId="0" borderId="0" xfId="0" applyFont="1"/>
    <xf numFmtId="0" fontId="0" fillId="2" borderId="0" xfId="0" applyFill="1" applyProtection="1">
      <protection locked="0"/>
    </xf>
    <xf numFmtId="0" fontId="4" fillId="0" borderId="0" xfId="0" applyFont="1"/>
    <xf numFmtId="2" fontId="0" fillId="3" borderId="0" xfId="0" applyNumberFormat="1" applyFill="1"/>
    <xf numFmtId="0" fontId="0" fillId="3" borderId="0" xfId="0" applyFill="1"/>
    <xf numFmtId="0" fontId="0" fillId="0" borderId="0" xfId="0"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top"/>
    </xf>
    <xf numFmtId="0" fontId="10" fillId="0" borderId="0" xfId="1" applyAlignment="1">
      <alignment horizontal="left" vertical="top" wrapText="1"/>
    </xf>
    <xf numFmtId="0" fontId="0" fillId="3" borderId="0" xfId="0" applyFill="1" applyAlignment="1">
      <alignment horizontal="left" vertical="top" wrapText="1"/>
    </xf>
    <xf numFmtId="0" fontId="0" fillId="0" borderId="0" xfId="0"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3057525</xdr:colOff>
      <xdr:row>5</xdr:row>
      <xdr:rowOff>171097</xdr:rowOff>
    </xdr:to>
    <xdr:pic>
      <xdr:nvPicPr>
        <xdr:cNvPr id="2" name="Picture 1">
          <a:extLst>
            <a:ext uri="{FF2B5EF4-FFF2-40B4-BE49-F238E27FC236}">
              <a16:creationId xmlns:a16="http://schemas.microsoft.com/office/drawing/2014/main" id="{5F130CB2-C013-4A90-B4B6-1147B97B1B2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849" b="35862"/>
        <a:stretch/>
      </xdr:blipFill>
      <xdr:spPr>
        <a:xfrm>
          <a:off x="0" y="0"/>
          <a:ext cx="3057525" cy="10918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oph Hasenoehrl" id="{0FD2DC8B-16DB-402E-BBDA-9C3F42ED164F}" userId="S::Christoph.Hasenoehrl@worksafe.govt.nz::131aa6bd-32c4-4861-919b-7fdbfb57936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4-02T22:36:11.46" personId="{0FD2DC8B-16DB-402E-BBDA-9C3F42ED164F}" id="{98B82B6B-25BE-4399-AB77-AE0C52286B15}">
    <text>Regulations 10.30, 12.13, 12.38 and 13.30 of the Health and Safety at Work (Hazardous Substances) Regulations 2017
Clause 41 of the Hazardous Substances (Hazardous Property Controls) Notice 2017</text>
  </threadedComment>
  <threadedComment ref="A31" dT="2023-04-02T22:33:33.71" personId="{0FD2DC8B-16DB-402E-BBDA-9C3F42ED164F}" id="{15AF3A40-250D-4F68-8D63-F1A3C1074359}">
    <text>Regulations 10.30 - 10.33, 12.13 - 12.16, 12.38 - 12.41 and 13.30 - 13.33 of the Health and Safety at Work (Hazardous Substances) Regulations 2017</text>
  </threadedComment>
  <threadedComment ref="A50" dT="2023-04-02T22:34:11.31" personId="{0FD2DC8B-16DB-402E-BBDA-9C3F42ED164F}" id="{B9899987-6BE4-4274-8FD1-0DFBB8534544}">
    <text>Regulations 10.30, 12.13, 12.38, 13.30 and 17.100-17.102 of the Health and Safety at Work (Hazardous Substances) Regulations 2017</text>
  </threadedComment>
  <threadedComment ref="A68" dT="2023-04-02T22:34:33.32" personId="{0FD2DC8B-16DB-402E-BBDA-9C3F42ED164F}" id="{8907466F-BA09-4ED9-9BC6-38E833383A3E}">
    <text>Regulations 10.33, 12.16, 12.41 and 13.33 of the Health and Safety at Work (Hazardous Substances) Regulations 2017</text>
  </threadedComment>
  <threadedComment ref="A78" dT="2023-04-02T22:35:07.42" personId="{0FD2DC8B-16DB-402E-BBDA-9C3F42ED164F}" id="{C04F9AC5-2034-4BB0-B354-4D75CDE060D5}">
    <text>Regulations 10.33, 12.41 and 13.33 of the Health and Safety at Work (Hazardous Substances) Regulations 2017</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pa.govt.nz/assets/Uploads/Documents/Hazardous-Substances/GHS2/HSNO-GHS7_Correlation_Table.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7:A31"/>
  <sheetViews>
    <sheetView tabSelected="1" workbookViewId="0">
      <selection activeCell="A29" sqref="A29"/>
    </sheetView>
  </sheetViews>
  <sheetFormatPr defaultRowHeight="14.45"/>
  <cols>
    <col min="1" max="1" width="149.5703125" customWidth="1"/>
  </cols>
  <sheetData>
    <row r="7" spans="1:1" ht="33.6">
      <c r="A7" s="1" t="s">
        <v>0</v>
      </c>
    </row>
    <row r="9" spans="1:1" ht="45" customHeight="1">
      <c r="A9" s="2" t="s">
        <v>1</v>
      </c>
    </row>
    <row r="11" spans="1:1">
      <c r="A11" s="3" t="s">
        <v>2</v>
      </c>
    </row>
    <row r="12" spans="1:1">
      <c r="A12" t="s">
        <v>3</v>
      </c>
    </row>
    <row r="13" spans="1:1">
      <c r="A13" s="4" t="s">
        <v>4</v>
      </c>
    </row>
    <row r="14" spans="1:1">
      <c r="A14" s="2" t="s">
        <v>5</v>
      </c>
    </row>
    <row r="16" spans="1:1">
      <c r="A16" s="3" t="s">
        <v>6</v>
      </c>
    </row>
    <row r="17" spans="1:1" ht="29.1">
      <c r="A17" s="2" t="s">
        <v>7</v>
      </c>
    </row>
    <row r="18" spans="1:1" ht="29.1">
      <c r="A18" s="5" t="s">
        <v>8</v>
      </c>
    </row>
    <row r="19" spans="1:1" ht="29.1">
      <c r="A19" s="2" t="s">
        <v>9</v>
      </c>
    </row>
    <row r="20" spans="1:1">
      <c r="A20" s="2" t="s">
        <v>10</v>
      </c>
    </row>
    <row r="21" spans="1:1" ht="29.1">
      <c r="A21" s="2" t="s">
        <v>11</v>
      </c>
    </row>
    <row r="22" spans="1:1">
      <c r="A22" s="2" t="s">
        <v>12</v>
      </c>
    </row>
    <row r="23" spans="1:1">
      <c r="A23" s="2" t="s">
        <v>13</v>
      </c>
    </row>
    <row r="24" spans="1:1" ht="29.1">
      <c r="A24" s="2" t="s">
        <v>14</v>
      </c>
    </row>
    <row r="26" spans="1:1" ht="43.5">
      <c r="A26" s="2" t="s">
        <v>15</v>
      </c>
    </row>
    <row r="27" spans="1:1" ht="43.5">
      <c r="A27" s="6" t="s">
        <v>16</v>
      </c>
    </row>
    <row r="28" spans="1:1">
      <c r="A28" s="2"/>
    </row>
    <row r="29" spans="1:1">
      <c r="A29" s="3" t="s">
        <v>17</v>
      </c>
    </row>
    <row r="30" spans="1:1">
      <c r="A30" t="s">
        <v>18</v>
      </c>
    </row>
    <row r="31" spans="1:1">
      <c r="A31" t="s">
        <v>19</v>
      </c>
    </row>
  </sheetData>
  <sheetProtection algorithmName="SHA-512" hashValue="OFdIuCH9LwtJboYLooqipeWpLa5jZyVUkTIpqElNA/uA3RcKpchNVvGLRlAm88o0HXXdmwos9Bb7lBu8DaXqPQ==" saltValue="b12YUDahVIQ3AAJiqTkyyg==" spinCount="100000" sheet="1" objects="1" scenarios="1"/>
  <pageMargins left="0.7" right="0.7" top="0.75" bottom="0.75" header="0.3" footer="0.3"/>
  <pageSetup paperSize="9" orientation="portrait" r:id="rId1"/>
  <headerFooter>
    <oddFooter>&amp;L&amp;1#&amp;"Calibri"&amp;10&amp;K000000IN-CONFIDENCE:RELEASE EXTERNAL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BDDBE-8299-42ED-BBA7-CC873BFFA33A}">
  <dimension ref="A1:P104"/>
  <sheetViews>
    <sheetView topLeftCell="A32" workbookViewId="0">
      <selection activeCell="A12" sqref="A12:O12"/>
    </sheetView>
  </sheetViews>
  <sheetFormatPr defaultColWidth="8.7109375" defaultRowHeight="14.45"/>
  <cols>
    <col min="1" max="1" width="10.5703125" customWidth="1"/>
  </cols>
  <sheetData>
    <row r="1" spans="1:15" ht="21">
      <c r="A1" s="18" t="s">
        <v>20</v>
      </c>
    </row>
    <row r="2" spans="1:15" ht="17.45" customHeight="1">
      <c r="A2" s="25" t="s">
        <v>21</v>
      </c>
      <c r="B2" s="25"/>
      <c r="C2" s="25"/>
      <c r="D2" s="25"/>
      <c r="E2" s="25"/>
      <c r="F2" s="25"/>
      <c r="G2" s="25"/>
      <c r="H2" s="25"/>
      <c r="I2" s="25"/>
      <c r="J2" s="25"/>
      <c r="K2" s="25"/>
      <c r="L2" s="25"/>
      <c r="M2" s="25"/>
      <c r="N2" s="25"/>
      <c r="O2" s="25"/>
    </row>
    <row r="3" spans="1:15" ht="30" customHeight="1">
      <c r="A3" s="24" t="s">
        <v>22</v>
      </c>
      <c r="B3" s="25" t="s">
        <v>23</v>
      </c>
      <c r="C3" s="25"/>
      <c r="D3" s="25"/>
      <c r="E3" s="25"/>
      <c r="F3" s="25"/>
      <c r="G3" s="25"/>
      <c r="H3" s="25"/>
      <c r="I3" s="25"/>
      <c r="J3" s="25"/>
      <c r="K3" s="25"/>
      <c r="L3" s="25"/>
      <c r="M3" s="25"/>
      <c r="N3" s="25"/>
      <c r="O3" s="25"/>
    </row>
    <row r="4" spans="1:15" ht="17.45" customHeight="1">
      <c r="A4" s="23" t="s">
        <v>24</v>
      </c>
      <c r="B4" s="25" t="s">
        <v>25</v>
      </c>
      <c r="C4" s="25"/>
      <c r="D4" s="25"/>
      <c r="E4" s="25"/>
      <c r="F4" s="25"/>
      <c r="G4" s="25"/>
      <c r="H4" s="25"/>
      <c r="I4" s="25"/>
      <c r="J4" s="25"/>
      <c r="K4" s="25"/>
      <c r="L4" s="25"/>
      <c r="M4" s="25"/>
      <c r="N4" s="25"/>
      <c r="O4" s="25"/>
    </row>
    <row r="5" spans="1:15">
      <c r="A5" s="22"/>
      <c r="B5" s="22"/>
      <c r="C5" s="22"/>
      <c r="D5" s="22"/>
      <c r="E5" s="22"/>
      <c r="F5" s="22"/>
      <c r="G5" s="22"/>
      <c r="H5" s="22"/>
      <c r="I5" s="22"/>
      <c r="J5" s="22"/>
      <c r="K5" s="22"/>
      <c r="L5" s="22"/>
      <c r="M5" s="22"/>
      <c r="N5" s="22"/>
      <c r="O5" s="22"/>
    </row>
    <row r="6" spans="1:15">
      <c r="A6" s="22" t="s">
        <v>26</v>
      </c>
      <c r="B6" s="22"/>
      <c r="C6" s="22"/>
      <c r="D6" s="22"/>
      <c r="E6" s="22"/>
      <c r="F6" s="22"/>
      <c r="G6" s="22"/>
      <c r="H6" s="22"/>
      <c r="I6" s="22"/>
      <c r="J6" s="22"/>
      <c r="K6" s="22"/>
      <c r="L6" s="22"/>
      <c r="M6" s="22"/>
      <c r="N6" s="22"/>
      <c r="O6" s="22"/>
    </row>
    <row r="7" spans="1:15" ht="43.5" customHeight="1">
      <c r="A7" s="26" t="s">
        <v>27</v>
      </c>
      <c r="B7" s="26"/>
      <c r="C7" s="26"/>
      <c r="D7" s="26"/>
      <c r="E7" s="26"/>
      <c r="F7" s="26"/>
      <c r="G7" s="26"/>
      <c r="H7" s="26"/>
      <c r="I7" s="26"/>
      <c r="J7" s="26"/>
      <c r="K7" s="26"/>
      <c r="L7" s="26"/>
      <c r="M7" s="26"/>
      <c r="N7" s="26"/>
      <c r="O7" s="26"/>
    </row>
    <row r="8" spans="1:15">
      <c r="A8" s="28" t="s">
        <v>28</v>
      </c>
      <c r="B8" s="28"/>
      <c r="C8" s="28"/>
      <c r="D8" s="28"/>
      <c r="E8" s="28"/>
      <c r="F8" s="28"/>
      <c r="G8" s="28"/>
      <c r="H8" s="28"/>
      <c r="I8" s="28"/>
      <c r="J8" s="28"/>
      <c r="K8" s="28"/>
      <c r="L8" s="28"/>
      <c r="M8" s="28"/>
      <c r="N8" s="28"/>
      <c r="O8" s="28"/>
    </row>
    <row r="9" spans="1:15">
      <c r="A9" s="26" t="s">
        <v>29</v>
      </c>
      <c r="B9" s="26"/>
      <c r="C9" s="26"/>
      <c r="D9" s="26"/>
      <c r="E9" s="26"/>
      <c r="F9" s="26"/>
      <c r="G9" s="26"/>
      <c r="H9" s="26"/>
      <c r="I9" s="26"/>
      <c r="J9" s="26"/>
      <c r="K9" s="26"/>
      <c r="L9" s="26"/>
      <c r="M9" s="26"/>
      <c r="N9" s="26"/>
      <c r="O9" s="26"/>
    </row>
    <row r="10" spans="1:15" ht="27.95" customHeight="1">
      <c r="A10" s="26" t="s">
        <v>30</v>
      </c>
      <c r="B10" s="26"/>
      <c r="C10" s="26"/>
      <c r="D10" s="26"/>
      <c r="E10" s="26"/>
      <c r="F10" s="26"/>
      <c r="G10" s="26"/>
      <c r="H10" s="26"/>
      <c r="I10" s="26"/>
      <c r="J10" s="26"/>
      <c r="K10" s="26"/>
      <c r="L10" s="26"/>
      <c r="M10" s="26"/>
      <c r="N10" s="26"/>
      <c r="O10" s="26"/>
    </row>
    <row r="12" spans="1:15" ht="34.5" customHeight="1">
      <c r="A12" s="25" t="s">
        <v>31</v>
      </c>
      <c r="B12" s="25"/>
      <c r="C12" s="25"/>
      <c r="D12" s="25"/>
      <c r="E12" s="25"/>
      <c r="F12" s="25"/>
      <c r="G12" s="25"/>
      <c r="H12" s="25"/>
      <c r="I12" s="25"/>
      <c r="J12" s="25"/>
      <c r="K12" s="25"/>
      <c r="L12" s="25"/>
      <c r="M12" s="25"/>
      <c r="N12" s="25"/>
      <c r="O12" s="25"/>
    </row>
    <row r="14" spans="1:15">
      <c r="A14" t="s">
        <v>32</v>
      </c>
      <c r="B14" s="17">
        <v>0</v>
      </c>
      <c r="C14" t="s">
        <v>33</v>
      </c>
      <c r="D14" t="s">
        <v>34</v>
      </c>
      <c r="E14" s="17">
        <v>0</v>
      </c>
      <c r="F14" t="s">
        <v>33</v>
      </c>
      <c r="G14" t="s">
        <v>35</v>
      </c>
      <c r="H14" s="17">
        <v>0</v>
      </c>
      <c r="I14" t="s">
        <v>33</v>
      </c>
      <c r="J14" t="s">
        <v>36</v>
      </c>
      <c r="K14" s="17">
        <v>0</v>
      </c>
      <c r="L14" t="s">
        <v>33</v>
      </c>
      <c r="M14" t="s">
        <v>37</v>
      </c>
      <c r="N14" s="17">
        <v>0</v>
      </c>
      <c r="O14" t="s">
        <v>33</v>
      </c>
    </row>
    <row r="15" spans="1:15">
      <c r="A15" t="s">
        <v>38</v>
      </c>
      <c r="B15" s="17">
        <v>0</v>
      </c>
      <c r="C15" t="s">
        <v>33</v>
      </c>
      <c r="D15" t="s">
        <v>39</v>
      </c>
      <c r="E15" s="17">
        <v>0</v>
      </c>
      <c r="F15" t="s">
        <v>33</v>
      </c>
      <c r="G15" t="s">
        <v>40</v>
      </c>
      <c r="H15" s="17">
        <v>0</v>
      </c>
      <c r="I15" t="s">
        <v>33</v>
      </c>
      <c r="J15" t="s">
        <v>41</v>
      </c>
      <c r="K15" s="17">
        <v>0</v>
      </c>
      <c r="L15" t="s">
        <v>33</v>
      </c>
      <c r="M15" t="s">
        <v>42</v>
      </c>
      <c r="N15" s="17">
        <v>0</v>
      </c>
      <c r="O15" t="s">
        <v>33</v>
      </c>
    </row>
    <row r="16" spans="1:15">
      <c r="A16" t="s">
        <v>43</v>
      </c>
      <c r="B16" s="17">
        <v>0</v>
      </c>
      <c r="C16" t="s">
        <v>33</v>
      </c>
      <c r="D16" t="s">
        <v>44</v>
      </c>
      <c r="E16" s="17">
        <v>0</v>
      </c>
      <c r="F16" t="s">
        <v>33</v>
      </c>
      <c r="G16" t="s">
        <v>45</v>
      </c>
      <c r="H16" s="17">
        <v>0</v>
      </c>
      <c r="I16" t="s">
        <v>33</v>
      </c>
      <c r="J16" t="s">
        <v>46</v>
      </c>
      <c r="K16" s="17">
        <v>0</v>
      </c>
      <c r="L16" t="s">
        <v>33</v>
      </c>
      <c r="M16" t="s">
        <v>47</v>
      </c>
      <c r="N16" s="17">
        <v>0</v>
      </c>
      <c r="O16" t="s">
        <v>33</v>
      </c>
    </row>
    <row r="17" spans="1:15">
      <c r="A17" t="s">
        <v>48</v>
      </c>
      <c r="B17" s="17">
        <v>0</v>
      </c>
      <c r="C17" t="s">
        <v>33</v>
      </c>
      <c r="D17" t="s">
        <v>49</v>
      </c>
      <c r="E17" s="17">
        <v>0</v>
      </c>
      <c r="F17" t="s">
        <v>33</v>
      </c>
      <c r="G17" t="s">
        <v>50</v>
      </c>
      <c r="H17" s="17">
        <v>0</v>
      </c>
      <c r="I17" t="s">
        <v>33</v>
      </c>
      <c r="J17" t="s">
        <v>51</v>
      </c>
      <c r="K17" s="17">
        <v>0</v>
      </c>
      <c r="L17" t="s">
        <v>33</v>
      </c>
      <c r="M17" t="s">
        <v>52</v>
      </c>
      <c r="N17" s="17">
        <v>0</v>
      </c>
      <c r="O17" t="s">
        <v>33</v>
      </c>
    </row>
    <row r="18" spans="1:15">
      <c r="A18" t="s">
        <v>53</v>
      </c>
      <c r="B18" s="17">
        <v>0</v>
      </c>
      <c r="C18" t="s">
        <v>33</v>
      </c>
      <c r="D18" t="s">
        <v>54</v>
      </c>
      <c r="E18" s="17">
        <v>0</v>
      </c>
      <c r="F18" t="s">
        <v>33</v>
      </c>
      <c r="G18" t="s">
        <v>55</v>
      </c>
      <c r="H18" s="17">
        <v>0</v>
      </c>
      <c r="I18" t="s">
        <v>33</v>
      </c>
      <c r="J18" t="s">
        <v>56</v>
      </c>
      <c r="K18" s="17">
        <v>0</v>
      </c>
      <c r="L18" t="s">
        <v>33</v>
      </c>
    </row>
    <row r="19" spans="1:15">
      <c r="A19" t="s">
        <v>57</v>
      </c>
      <c r="B19" s="17">
        <v>0</v>
      </c>
      <c r="C19" t="s">
        <v>33</v>
      </c>
      <c r="D19" t="s">
        <v>58</v>
      </c>
      <c r="E19" s="17">
        <v>0</v>
      </c>
      <c r="F19" t="s">
        <v>33</v>
      </c>
      <c r="G19" t="s">
        <v>59</v>
      </c>
      <c r="H19" s="17">
        <v>0</v>
      </c>
      <c r="I19" t="s">
        <v>33</v>
      </c>
      <c r="J19" t="s">
        <v>60</v>
      </c>
      <c r="K19" s="17">
        <v>0</v>
      </c>
      <c r="L19" t="s">
        <v>33</v>
      </c>
      <c r="M19" t="s">
        <v>61</v>
      </c>
      <c r="N19" s="17">
        <v>0</v>
      </c>
      <c r="O19" t="s">
        <v>33</v>
      </c>
    </row>
    <row r="20" spans="1:15">
      <c r="A20" t="s">
        <v>62</v>
      </c>
      <c r="B20" s="17">
        <v>0</v>
      </c>
      <c r="C20" t="s">
        <v>33</v>
      </c>
      <c r="D20" t="s">
        <v>63</v>
      </c>
      <c r="E20" s="17">
        <v>0</v>
      </c>
      <c r="F20" t="s">
        <v>33</v>
      </c>
      <c r="G20" t="s">
        <v>64</v>
      </c>
      <c r="H20" s="17">
        <v>0</v>
      </c>
      <c r="I20" t="s">
        <v>33</v>
      </c>
      <c r="J20" t="s">
        <v>65</v>
      </c>
      <c r="K20" s="17">
        <v>0</v>
      </c>
      <c r="L20" t="s">
        <v>33</v>
      </c>
      <c r="M20" t="s">
        <v>66</v>
      </c>
      <c r="N20" s="17">
        <v>0</v>
      </c>
      <c r="O20" t="s">
        <v>33</v>
      </c>
    </row>
    <row r="21" spans="1:15">
      <c r="D21" t="s">
        <v>67</v>
      </c>
      <c r="E21" s="17">
        <v>0</v>
      </c>
      <c r="F21" t="s">
        <v>33</v>
      </c>
      <c r="G21" t="s">
        <v>68</v>
      </c>
      <c r="H21" s="17">
        <v>0</v>
      </c>
      <c r="I21" t="s">
        <v>33</v>
      </c>
      <c r="J21" t="s">
        <v>69</v>
      </c>
      <c r="K21" s="17">
        <v>0</v>
      </c>
      <c r="L21" t="s">
        <v>33</v>
      </c>
      <c r="M21" t="s">
        <v>70</v>
      </c>
      <c r="N21" s="17">
        <v>0</v>
      </c>
      <c r="O21" t="s">
        <v>33</v>
      </c>
    </row>
    <row r="22" spans="1:15">
      <c r="D22" t="s">
        <v>71</v>
      </c>
      <c r="E22" s="17">
        <v>0</v>
      </c>
      <c r="F22" t="s">
        <v>33</v>
      </c>
      <c r="G22" t="s">
        <v>72</v>
      </c>
      <c r="H22" s="17">
        <v>0</v>
      </c>
      <c r="I22" t="s">
        <v>33</v>
      </c>
      <c r="J22" t="s">
        <v>73</v>
      </c>
      <c r="K22" s="17">
        <v>0</v>
      </c>
      <c r="L22" t="s">
        <v>33</v>
      </c>
      <c r="M22" t="s">
        <v>74</v>
      </c>
      <c r="N22" s="17">
        <v>0</v>
      </c>
      <c r="O22" t="s">
        <v>33</v>
      </c>
    </row>
    <row r="23" spans="1:15">
      <c r="D23" t="s">
        <v>75</v>
      </c>
      <c r="E23" s="17">
        <v>0</v>
      </c>
      <c r="F23" t="s">
        <v>33</v>
      </c>
      <c r="J23" t="s">
        <v>76</v>
      </c>
      <c r="K23" s="17">
        <v>0</v>
      </c>
      <c r="L23" t="s">
        <v>33</v>
      </c>
    </row>
    <row r="24" spans="1:15">
      <c r="D24" t="s">
        <v>77</v>
      </c>
      <c r="E24" s="17">
        <v>0</v>
      </c>
      <c r="F24" t="s">
        <v>33</v>
      </c>
      <c r="J24" t="s">
        <v>78</v>
      </c>
      <c r="K24" s="17">
        <v>0</v>
      </c>
      <c r="L24" t="s">
        <v>33</v>
      </c>
    </row>
    <row r="25" spans="1:15">
      <c r="D25" t="s">
        <v>79</v>
      </c>
      <c r="E25" s="17">
        <v>0</v>
      </c>
      <c r="F25" t="s">
        <v>33</v>
      </c>
    </row>
    <row r="26" spans="1:15">
      <c r="D26" t="s">
        <v>80</v>
      </c>
      <c r="E26" s="17">
        <v>0</v>
      </c>
      <c r="F26" t="s">
        <v>33</v>
      </c>
      <c r="H26" t="s">
        <v>81</v>
      </c>
    </row>
    <row r="27" spans="1:15">
      <c r="D27" t="s">
        <v>82</v>
      </c>
      <c r="E27" s="17">
        <v>0</v>
      </c>
      <c r="F27" t="s">
        <v>33</v>
      </c>
    </row>
    <row r="29" spans="1:15">
      <c r="A29" s="29" t="str">
        <f>IF(BackEnd!$C$52&lt;1,BackEnd!$A$56,BackEnd!$A$54)</f>
        <v>You are below the thresholds required to establish secondary containment.</v>
      </c>
      <c r="B29" s="29"/>
      <c r="C29" s="29"/>
      <c r="D29" s="29"/>
      <c r="E29" s="29"/>
      <c r="F29" s="29"/>
      <c r="G29" s="29"/>
      <c r="H29" s="29"/>
      <c r="I29" s="29"/>
      <c r="J29" s="29"/>
      <c r="K29" s="29"/>
      <c r="L29" s="29"/>
      <c r="M29" s="29"/>
      <c r="N29" s="29"/>
      <c r="O29" s="29"/>
    </row>
    <row r="31" spans="1:15" ht="21">
      <c r="A31" s="18" t="s">
        <v>83</v>
      </c>
    </row>
    <row r="32" spans="1:15" ht="32.450000000000003" customHeight="1">
      <c r="A32" s="25" t="s">
        <v>84</v>
      </c>
      <c r="B32" s="25"/>
      <c r="C32" s="25"/>
      <c r="D32" s="25"/>
      <c r="E32" s="25"/>
      <c r="F32" s="25"/>
      <c r="G32" s="25"/>
      <c r="H32" s="25"/>
      <c r="I32" s="25"/>
      <c r="J32" s="25"/>
      <c r="K32" s="25"/>
      <c r="L32" s="25"/>
      <c r="M32" s="25"/>
      <c r="N32" s="25"/>
      <c r="O32" s="25"/>
    </row>
    <row r="33" spans="1:16">
      <c r="A33" s="24" t="s">
        <v>22</v>
      </c>
      <c r="B33" s="25" t="s">
        <v>85</v>
      </c>
      <c r="C33" s="25"/>
      <c r="D33" s="25"/>
      <c r="E33" s="25"/>
      <c r="F33" s="25"/>
      <c r="G33" s="25"/>
      <c r="H33" s="25"/>
      <c r="I33" s="25"/>
      <c r="J33" s="25"/>
      <c r="K33" s="25"/>
      <c r="L33" s="25"/>
      <c r="M33" s="25"/>
      <c r="N33" s="25"/>
      <c r="O33" s="25"/>
    </row>
    <row r="34" spans="1:16" ht="29.1" customHeight="1">
      <c r="A34" s="24" t="s">
        <v>22</v>
      </c>
      <c r="B34" s="25" t="s">
        <v>86</v>
      </c>
      <c r="C34" s="25"/>
      <c r="D34" s="25"/>
      <c r="E34" s="25"/>
      <c r="F34" s="25"/>
      <c r="G34" s="25"/>
      <c r="H34" s="25"/>
      <c r="I34" s="25"/>
      <c r="J34" s="25"/>
      <c r="K34" s="25"/>
      <c r="L34" s="25"/>
      <c r="M34" s="25"/>
      <c r="N34" s="25"/>
      <c r="O34" s="25"/>
    </row>
    <row r="35" spans="1:16">
      <c r="A35" s="23" t="s">
        <v>24</v>
      </c>
      <c r="B35" s="25" t="s">
        <v>87</v>
      </c>
      <c r="C35" s="25"/>
      <c r="D35" s="25"/>
      <c r="E35" s="25"/>
      <c r="F35" s="25"/>
      <c r="G35" s="25"/>
      <c r="H35" s="25"/>
      <c r="I35" s="25"/>
      <c r="J35" s="25"/>
      <c r="K35" s="25"/>
      <c r="L35" s="25"/>
      <c r="M35" s="25"/>
      <c r="N35" s="25"/>
      <c r="O35" s="25"/>
    </row>
    <row r="37" spans="1:16">
      <c r="A37" t="s">
        <v>88</v>
      </c>
      <c r="H37" t="s">
        <v>89</v>
      </c>
    </row>
    <row r="38" spans="1:16">
      <c r="A38" t="s">
        <v>90</v>
      </c>
      <c r="E38" s="17">
        <v>0</v>
      </c>
      <c r="F38" t="s">
        <v>33</v>
      </c>
    </row>
    <row r="40" spans="1:16">
      <c r="A40" t="s">
        <v>91</v>
      </c>
      <c r="E40" s="17">
        <v>0</v>
      </c>
      <c r="F40" t="s">
        <v>33</v>
      </c>
      <c r="H40" t="s">
        <v>92</v>
      </c>
      <c r="O40" s="17">
        <v>0</v>
      </c>
      <c r="P40" t="s">
        <v>33</v>
      </c>
    </row>
    <row r="41" spans="1:16">
      <c r="E41" t="s">
        <v>81</v>
      </c>
    </row>
    <row r="42" spans="1:16">
      <c r="A42" t="s">
        <v>93</v>
      </c>
      <c r="E42" s="17">
        <v>0</v>
      </c>
      <c r="F42" t="s">
        <v>33</v>
      </c>
      <c r="H42" t="s">
        <v>94</v>
      </c>
      <c r="O42" s="17">
        <v>0</v>
      </c>
      <c r="P42" t="s">
        <v>33</v>
      </c>
    </row>
    <row r="44" spans="1:16">
      <c r="A44" t="s">
        <v>95</v>
      </c>
      <c r="E44" s="20">
        <f>BackEnd!$R$2</f>
        <v>0</v>
      </c>
      <c r="F44" t="s">
        <v>33</v>
      </c>
      <c r="H44" t="s">
        <v>95</v>
      </c>
      <c r="L44" s="20">
        <f>BackEnd!$R$15</f>
        <v>0</v>
      </c>
      <c r="M44" t="s">
        <v>33</v>
      </c>
      <c r="N44" t="s">
        <v>96</v>
      </c>
    </row>
    <row r="46" spans="1:16">
      <c r="A46" t="s">
        <v>97</v>
      </c>
    </row>
    <row r="47" spans="1:16">
      <c r="A47" s="25" t="s">
        <v>98</v>
      </c>
      <c r="B47" s="25"/>
      <c r="C47" s="25"/>
      <c r="D47" s="25"/>
      <c r="E47" s="25"/>
      <c r="F47" s="25"/>
      <c r="G47" s="25"/>
      <c r="H47" s="25"/>
      <c r="I47" s="25"/>
      <c r="J47" s="25"/>
      <c r="K47" s="25"/>
      <c r="L47" s="25"/>
      <c r="M47" s="25"/>
      <c r="N47" s="25"/>
      <c r="O47" s="25"/>
    </row>
    <row r="48" spans="1:16" ht="27.95" customHeight="1">
      <c r="A48" s="25" t="s">
        <v>99</v>
      </c>
      <c r="B48" s="25"/>
      <c r="C48" s="25"/>
      <c r="D48" s="25"/>
      <c r="E48" s="25"/>
      <c r="F48" s="25"/>
      <c r="G48" s="25"/>
      <c r="H48" s="25"/>
      <c r="I48" s="25"/>
      <c r="J48" s="25"/>
      <c r="K48" s="25"/>
      <c r="L48" s="25"/>
      <c r="M48" s="25"/>
      <c r="N48" s="25"/>
      <c r="O48" s="25"/>
    </row>
    <row r="49" spans="1:15">
      <c r="O49" s="22"/>
    </row>
    <row r="50" spans="1:15" ht="21">
      <c r="A50" s="18" t="s">
        <v>100</v>
      </c>
    </row>
    <row r="51" spans="1:15" ht="14.45" customHeight="1">
      <c r="A51" s="25" t="s">
        <v>101</v>
      </c>
      <c r="B51" s="25"/>
      <c r="C51" s="25"/>
      <c r="D51" s="25"/>
      <c r="E51" s="25"/>
      <c r="F51" s="25"/>
      <c r="G51" s="25"/>
      <c r="H51" s="25"/>
      <c r="I51" s="25"/>
      <c r="J51" s="25"/>
      <c r="K51" s="25"/>
      <c r="L51" s="25"/>
      <c r="M51" s="25"/>
      <c r="N51" s="25"/>
      <c r="O51" s="25"/>
    </row>
    <row r="52" spans="1:15" ht="14.45" customHeight="1">
      <c r="A52" s="22"/>
      <c r="B52" s="22"/>
      <c r="C52" s="22"/>
      <c r="D52" s="22"/>
      <c r="E52" s="22"/>
      <c r="F52" s="22"/>
      <c r="G52" s="22"/>
      <c r="H52" s="22"/>
      <c r="I52" s="22"/>
      <c r="J52" s="22"/>
      <c r="K52" s="22"/>
      <c r="L52" s="22"/>
      <c r="M52" s="22"/>
      <c r="N52" s="22"/>
      <c r="O52" s="22"/>
    </row>
    <row r="53" spans="1:15">
      <c r="A53" s="24" t="s">
        <v>22</v>
      </c>
      <c r="B53" s="25" t="s">
        <v>102</v>
      </c>
      <c r="C53" s="25"/>
      <c r="D53" s="25"/>
      <c r="E53" s="25"/>
      <c r="F53" s="25"/>
      <c r="G53" s="25"/>
      <c r="H53" s="25"/>
      <c r="I53" s="25"/>
      <c r="J53" s="25"/>
      <c r="K53" s="25"/>
      <c r="L53" s="25"/>
      <c r="M53" s="25"/>
      <c r="N53" s="25"/>
      <c r="O53" s="25"/>
    </row>
    <row r="54" spans="1:15">
      <c r="A54" s="24" t="s">
        <v>22</v>
      </c>
      <c r="B54" s="25" t="s">
        <v>103</v>
      </c>
      <c r="C54" s="25"/>
      <c r="D54" s="25"/>
      <c r="E54" s="25"/>
      <c r="F54" s="25"/>
      <c r="G54" s="25"/>
      <c r="H54" s="25"/>
      <c r="I54" s="25"/>
      <c r="J54" s="25"/>
      <c r="K54" s="25"/>
      <c r="L54" s="25"/>
      <c r="M54" s="25"/>
      <c r="N54" s="25"/>
      <c r="O54" s="25"/>
    </row>
    <row r="55" spans="1:15">
      <c r="A55" s="23" t="s">
        <v>24</v>
      </c>
      <c r="B55" s="25" t="s">
        <v>87</v>
      </c>
      <c r="C55" s="25"/>
      <c r="D55" s="25"/>
      <c r="E55" s="25"/>
      <c r="F55" s="25"/>
      <c r="G55" s="25"/>
      <c r="H55" s="25"/>
      <c r="I55" s="25"/>
      <c r="J55" s="25"/>
      <c r="K55" s="25"/>
      <c r="L55" s="25"/>
      <c r="M55" s="25"/>
      <c r="N55" s="25"/>
      <c r="O55" s="25"/>
    </row>
    <row r="56" spans="1:15">
      <c r="A56" s="22"/>
      <c r="B56" s="22"/>
      <c r="C56" s="22"/>
      <c r="D56" s="22"/>
      <c r="E56" s="22"/>
      <c r="F56" s="22"/>
      <c r="G56" s="22"/>
      <c r="H56" s="22"/>
      <c r="I56" s="22"/>
      <c r="J56" s="22"/>
      <c r="K56" s="22"/>
      <c r="L56" s="22"/>
      <c r="M56" s="22"/>
      <c r="N56" s="22"/>
      <c r="O56" s="22"/>
    </row>
    <row r="57" spans="1:15">
      <c r="A57" t="s">
        <v>104</v>
      </c>
    </row>
    <row r="58" spans="1:15">
      <c r="F58" t="s">
        <v>105</v>
      </c>
      <c r="K58" s="17">
        <v>0</v>
      </c>
      <c r="L58" t="s">
        <v>33</v>
      </c>
    </row>
    <row r="59" spans="1:15">
      <c r="F59" t="s">
        <v>95</v>
      </c>
      <c r="K59" s="20">
        <f>$K$58</f>
        <v>0</v>
      </c>
      <c r="L59" t="s">
        <v>33</v>
      </c>
    </row>
    <row r="60" spans="1:15">
      <c r="A60" t="s">
        <v>106</v>
      </c>
    </row>
    <row r="61" spans="1:15" s="21" customFormat="1" ht="30" customHeight="1">
      <c r="A61"/>
      <c r="B61"/>
      <c r="C61"/>
      <c r="D61"/>
      <c r="E61"/>
      <c r="F61" t="s">
        <v>107</v>
      </c>
      <c r="G61"/>
      <c r="H61"/>
      <c r="I61"/>
      <c r="J61"/>
      <c r="K61" s="17">
        <v>0</v>
      </c>
      <c r="L61" t="s">
        <v>33</v>
      </c>
      <c r="M61"/>
      <c r="N61"/>
      <c r="O61"/>
    </row>
    <row r="62" spans="1:15" s="21" customFormat="1">
      <c r="A62"/>
      <c r="B62"/>
      <c r="C62"/>
      <c r="D62"/>
      <c r="E62"/>
      <c r="F62" t="s">
        <v>95</v>
      </c>
      <c r="G62"/>
      <c r="H62"/>
      <c r="I62"/>
      <c r="J62"/>
      <c r="K62" s="20">
        <f>$K$61*1.1</f>
        <v>0</v>
      </c>
      <c r="L62" t="s">
        <v>33</v>
      </c>
      <c r="M62"/>
      <c r="N62"/>
      <c r="O62"/>
    </row>
    <row r="63" spans="1:15">
      <c r="A63" t="s">
        <v>26</v>
      </c>
    </row>
    <row r="64" spans="1:15">
      <c r="A64" s="25" t="s">
        <v>108</v>
      </c>
      <c r="B64" s="25"/>
      <c r="C64" s="25"/>
      <c r="D64" s="25"/>
      <c r="E64" s="25"/>
      <c r="F64" s="25"/>
      <c r="G64" s="25"/>
      <c r="H64" s="25"/>
      <c r="I64" s="25"/>
      <c r="J64" s="25"/>
      <c r="K64" s="25"/>
      <c r="L64" s="25"/>
      <c r="M64" s="25"/>
      <c r="N64" s="25"/>
      <c r="O64" s="25"/>
    </row>
    <row r="65" spans="1:15">
      <c r="A65" s="25" t="s">
        <v>109</v>
      </c>
      <c r="B65" s="25"/>
      <c r="C65" s="25"/>
      <c r="D65" s="25"/>
      <c r="E65" s="25"/>
      <c r="F65" s="25"/>
      <c r="G65" s="25"/>
      <c r="H65" s="25"/>
      <c r="I65" s="25"/>
      <c r="J65" s="25"/>
      <c r="K65" s="25"/>
      <c r="L65" s="25"/>
      <c r="M65" s="25"/>
      <c r="N65" s="25"/>
      <c r="O65" s="22"/>
    </row>
    <row r="66" spans="1:15">
      <c r="A66" s="25" t="s">
        <v>110</v>
      </c>
      <c r="B66" s="25"/>
      <c r="C66" s="25"/>
      <c r="D66" s="25"/>
      <c r="E66" s="25"/>
      <c r="F66" s="25"/>
      <c r="G66" s="25"/>
      <c r="H66" s="25"/>
      <c r="I66" s="25"/>
      <c r="J66" s="25"/>
      <c r="K66" s="25"/>
      <c r="L66" s="25"/>
      <c r="M66" s="25"/>
      <c r="N66" s="25"/>
      <c r="O66" s="25"/>
    </row>
    <row r="67" spans="1:15" ht="14.45" customHeight="1"/>
    <row r="68" spans="1:15" ht="14.45" customHeight="1">
      <c r="A68" s="18" t="s">
        <v>111</v>
      </c>
    </row>
    <row r="69" spans="1:15">
      <c r="A69" s="25" t="s">
        <v>112</v>
      </c>
      <c r="B69" s="25"/>
      <c r="C69" s="25"/>
      <c r="D69" s="25"/>
      <c r="E69" s="25"/>
      <c r="F69" s="25"/>
      <c r="G69" s="25"/>
      <c r="H69" s="25"/>
      <c r="I69" s="25"/>
      <c r="J69" s="25"/>
      <c r="K69" s="25"/>
      <c r="L69" s="25"/>
      <c r="M69" s="25"/>
      <c r="N69" s="25"/>
      <c r="O69" s="25"/>
    </row>
    <row r="70" spans="1:15">
      <c r="A70" s="24" t="s">
        <v>22</v>
      </c>
      <c r="B70" s="25" t="s">
        <v>113</v>
      </c>
      <c r="C70" s="25"/>
      <c r="D70" s="25"/>
      <c r="E70" s="25"/>
      <c r="F70" s="25"/>
      <c r="G70" s="25"/>
      <c r="H70" s="25"/>
      <c r="I70" s="25"/>
      <c r="J70" s="25"/>
      <c r="K70" s="25"/>
      <c r="L70" s="25"/>
      <c r="M70" s="25"/>
      <c r="N70" s="25"/>
      <c r="O70" s="25"/>
    </row>
    <row r="71" spans="1:15">
      <c r="A71" s="23" t="s">
        <v>24</v>
      </c>
      <c r="B71" s="25" t="s">
        <v>114</v>
      </c>
      <c r="C71" s="25"/>
      <c r="D71" s="25"/>
      <c r="E71" s="25"/>
      <c r="F71" s="25"/>
      <c r="G71" s="25"/>
      <c r="H71" s="25"/>
      <c r="I71" s="25"/>
      <c r="J71" s="25"/>
      <c r="K71" s="25"/>
      <c r="L71" s="25"/>
      <c r="M71" s="25"/>
      <c r="N71" s="25"/>
      <c r="O71" s="25"/>
    </row>
    <row r="72" spans="1:15">
      <c r="A72" s="22"/>
      <c r="B72" s="22"/>
      <c r="C72" s="22"/>
      <c r="D72" s="22"/>
      <c r="E72" s="22"/>
      <c r="F72" s="22"/>
      <c r="G72" s="22"/>
      <c r="H72" s="22"/>
      <c r="I72" s="22"/>
      <c r="J72" s="22"/>
      <c r="K72" s="22"/>
      <c r="L72" s="22"/>
      <c r="M72" s="22"/>
      <c r="N72" s="22"/>
      <c r="O72" s="22"/>
    </row>
    <row r="73" spans="1:15">
      <c r="A73" t="s">
        <v>115</v>
      </c>
      <c r="K73" s="17">
        <v>0</v>
      </c>
      <c r="L73" t="s">
        <v>33</v>
      </c>
    </row>
    <row r="74" spans="1:15">
      <c r="F74" t="s">
        <v>95</v>
      </c>
      <c r="K74" s="20">
        <f>$K$73*1.1</f>
        <v>0</v>
      </c>
      <c r="L74" t="s">
        <v>33</v>
      </c>
    </row>
    <row r="75" spans="1:15">
      <c r="A75" t="s">
        <v>97</v>
      </c>
    </row>
    <row r="76" spans="1:15">
      <c r="A76" s="25" t="s">
        <v>116</v>
      </c>
      <c r="B76" s="25"/>
      <c r="C76" s="25"/>
      <c r="D76" s="25"/>
      <c r="E76" s="25"/>
      <c r="F76" s="25"/>
      <c r="G76" s="25"/>
      <c r="H76" s="25"/>
      <c r="I76" s="25"/>
      <c r="J76" s="25"/>
      <c r="K76" s="25"/>
      <c r="L76" s="25"/>
      <c r="M76" s="25"/>
      <c r="N76" s="25"/>
      <c r="O76" s="25"/>
    </row>
    <row r="78" spans="1:15" ht="21">
      <c r="A78" s="18" t="s">
        <v>117</v>
      </c>
    </row>
    <row r="79" spans="1:15">
      <c r="A79" s="25" t="s">
        <v>118</v>
      </c>
      <c r="B79" s="25"/>
      <c r="C79" s="25"/>
      <c r="D79" s="25"/>
      <c r="E79" s="25"/>
      <c r="F79" s="25"/>
      <c r="G79" s="25"/>
      <c r="H79" s="25"/>
      <c r="I79" s="25"/>
      <c r="J79" s="25"/>
      <c r="K79" s="25"/>
      <c r="L79" s="25"/>
      <c r="M79" s="25"/>
      <c r="N79" s="25"/>
      <c r="O79" s="25"/>
    </row>
    <row r="80" spans="1:15">
      <c r="A80" s="24" t="s">
        <v>22</v>
      </c>
      <c r="B80" s="25" t="s">
        <v>119</v>
      </c>
      <c r="C80" s="25"/>
      <c r="D80" s="25"/>
      <c r="E80" s="25"/>
      <c r="F80" s="25"/>
      <c r="G80" s="25"/>
      <c r="H80" s="25"/>
      <c r="I80" s="25"/>
      <c r="J80" s="25"/>
      <c r="K80" s="25"/>
      <c r="L80" s="25"/>
      <c r="M80" s="25"/>
      <c r="N80" s="25"/>
      <c r="O80" s="25"/>
    </row>
    <row r="81" spans="1:15">
      <c r="A81" s="23" t="s">
        <v>24</v>
      </c>
      <c r="B81" s="25" t="s">
        <v>114</v>
      </c>
      <c r="C81" s="25"/>
      <c r="D81" s="25"/>
      <c r="E81" s="25"/>
      <c r="F81" s="25"/>
      <c r="G81" s="25"/>
      <c r="H81" s="25"/>
      <c r="I81" s="25"/>
      <c r="J81" s="25"/>
      <c r="K81" s="25"/>
      <c r="L81" s="25"/>
      <c r="M81" s="25"/>
      <c r="N81" s="25"/>
      <c r="O81" s="25"/>
    </row>
    <row r="82" spans="1:15">
      <c r="A82" s="22"/>
      <c r="B82" s="22"/>
      <c r="C82" s="22"/>
      <c r="D82" s="22"/>
      <c r="E82" s="22"/>
      <c r="F82" s="22"/>
      <c r="G82" s="22"/>
      <c r="H82" s="22"/>
      <c r="I82" s="22"/>
      <c r="J82" s="22"/>
      <c r="K82" s="22"/>
      <c r="L82" s="22"/>
      <c r="M82" s="22"/>
      <c r="N82" s="22"/>
      <c r="O82" s="22"/>
    </row>
    <row r="83" spans="1:15">
      <c r="A83" t="s">
        <v>120</v>
      </c>
      <c r="K83" s="17">
        <v>0</v>
      </c>
      <c r="L83" t="s">
        <v>33</v>
      </c>
    </row>
    <row r="84" spans="1:15">
      <c r="F84" t="s">
        <v>95</v>
      </c>
      <c r="K84" s="20">
        <f>$K$83*1.1</f>
        <v>0</v>
      </c>
      <c r="L84" t="s">
        <v>33</v>
      </c>
    </row>
    <row r="85" spans="1:15">
      <c r="A85" t="s">
        <v>121</v>
      </c>
    </row>
    <row r="86" spans="1:15">
      <c r="A86" s="25" t="s">
        <v>122</v>
      </c>
      <c r="B86" s="25"/>
      <c r="C86" s="25"/>
      <c r="D86" s="25"/>
      <c r="E86" s="25"/>
      <c r="F86" s="25"/>
      <c r="G86" s="25"/>
      <c r="H86" s="25"/>
      <c r="I86" s="25"/>
      <c r="J86" s="25"/>
      <c r="K86" s="25"/>
      <c r="L86" s="25"/>
      <c r="M86" s="25"/>
      <c r="N86" s="25"/>
      <c r="O86" s="25"/>
    </row>
    <row r="87" spans="1:15">
      <c r="A87" s="25" t="s">
        <v>123</v>
      </c>
      <c r="B87" s="25"/>
      <c r="C87" s="25"/>
      <c r="D87" s="25"/>
      <c r="E87" s="25"/>
      <c r="F87" s="25"/>
      <c r="G87" s="25"/>
      <c r="H87" s="25"/>
      <c r="I87" s="25"/>
      <c r="J87" s="25"/>
      <c r="K87" s="25"/>
      <c r="L87" s="25"/>
      <c r="M87" s="25"/>
      <c r="N87" s="25"/>
      <c r="O87" s="22"/>
    </row>
    <row r="88" spans="1:15" ht="17.100000000000001" customHeight="1"/>
    <row r="89" spans="1:15" ht="17.100000000000001" customHeight="1">
      <c r="A89" s="18" t="s">
        <v>124</v>
      </c>
    </row>
    <row r="90" spans="1:15">
      <c r="A90" s="25" t="s">
        <v>125</v>
      </c>
      <c r="B90" s="25"/>
      <c r="C90" s="25"/>
      <c r="D90" s="25"/>
      <c r="E90" s="25"/>
      <c r="F90" s="25"/>
      <c r="G90" s="25"/>
      <c r="H90" s="25"/>
      <c r="I90" s="25"/>
      <c r="J90" s="25"/>
      <c r="K90" s="25"/>
      <c r="L90" s="25"/>
      <c r="M90" s="25"/>
      <c r="N90" s="25"/>
      <c r="O90" s="25"/>
    </row>
    <row r="91" spans="1:15">
      <c r="A91" s="26" t="s">
        <v>126</v>
      </c>
      <c r="B91" s="26"/>
      <c r="C91" s="26"/>
      <c r="D91" s="26"/>
      <c r="E91" s="26"/>
      <c r="F91" s="26"/>
      <c r="G91" s="26"/>
      <c r="H91" s="26"/>
      <c r="I91" s="26"/>
      <c r="J91" s="26"/>
      <c r="K91" s="26"/>
      <c r="L91" s="26"/>
      <c r="M91" s="26"/>
      <c r="N91" s="26"/>
      <c r="O91" s="26"/>
    </row>
    <row r="92" spans="1:15">
      <c r="A92" s="26" t="s">
        <v>127</v>
      </c>
      <c r="B92" s="26"/>
      <c r="C92" s="26"/>
      <c r="D92" s="26"/>
      <c r="E92" s="26"/>
      <c r="F92" s="26"/>
      <c r="G92" s="26"/>
      <c r="H92" s="26"/>
      <c r="I92" s="26"/>
      <c r="J92" s="26"/>
      <c r="K92" s="26"/>
      <c r="L92" s="26"/>
      <c r="M92" s="26"/>
      <c r="N92" s="26"/>
      <c r="O92" s="26"/>
    </row>
    <row r="93" spans="1:15">
      <c r="A93" s="22"/>
      <c r="B93" s="22"/>
      <c r="C93" s="22"/>
      <c r="D93" s="22"/>
      <c r="E93" s="22"/>
      <c r="F93" s="22"/>
      <c r="G93" s="22"/>
      <c r="H93" s="22"/>
      <c r="I93" s="22"/>
      <c r="J93" s="22"/>
      <c r="K93" s="22"/>
      <c r="L93" s="22"/>
      <c r="M93" s="22"/>
      <c r="N93" s="22"/>
      <c r="O93" s="22"/>
    </row>
    <row r="94" spans="1:15">
      <c r="A94" s="25" t="s">
        <v>128</v>
      </c>
      <c r="B94" s="25"/>
      <c r="C94" s="25"/>
      <c r="D94" s="25"/>
      <c r="E94" s="25"/>
      <c r="F94" s="25"/>
      <c r="G94" s="25"/>
      <c r="H94" s="25"/>
      <c r="I94" s="25"/>
      <c r="J94" s="25"/>
      <c r="K94" s="25"/>
      <c r="L94" s="25"/>
      <c r="M94" s="25"/>
      <c r="N94" s="25"/>
      <c r="O94" s="25"/>
    </row>
    <row r="95" spans="1:15">
      <c r="A95" s="24" t="s">
        <v>22</v>
      </c>
      <c r="B95" s="25" t="s">
        <v>129</v>
      </c>
      <c r="C95" s="25"/>
      <c r="D95" s="25"/>
      <c r="E95" s="25"/>
      <c r="F95" s="25"/>
      <c r="G95" s="25"/>
      <c r="H95" s="25"/>
      <c r="I95" s="25"/>
      <c r="J95" s="25"/>
      <c r="K95" s="25"/>
      <c r="L95" s="25"/>
      <c r="M95" s="25"/>
      <c r="N95" s="25"/>
      <c r="O95" s="25"/>
    </row>
    <row r="96" spans="1:15">
      <c r="A96" s="23" t="s">
        <v>24</v>
      </c>
      <c r="B96" s="25" t="s">
        <v>130</v>
      </c>
      <c r="C96" s="25"/>
      <c r="D96" s="25"/>
      <c r="E96" s="25"/>
      <c r="F96" s="25"/>
      <c r="G96" s="25"/>
      <c r="H96" s="25"/>
      <c r="I96" s="25"/>
      <c r="J96" s="25"/>
      <c r="K96" s="25"/>
      <c r="L96" s="25"/>
      <c r="M96" s="25"/>
      <c r="N96" s="25"/>
      <c r="O96" s="25"/>
    </row>
    <row r="98" spans="1:15" ht="16.5">
      <c r="A98" t="s">
        <v>131</v>
      </c>
      <c r="B98" s="17">
        <v>0</v>
      </c>
      <c r="C98" t="s">
        <v>132</v>
      </c>
      <c r="E98" t="s">
        <v>133</v>
      </c>
      <c r="J98" s="19">
        <f>B98*B99*B100</f>
        <v>0</v>
      </c>
      <c r="K98" t="s">
        <v>134</v>
      </c>
    </row>
    <row r="99" spans="1:15">
      <c r="A99" t="s">
        <v>135</v>
      </c>
      <c r="B99" s="17">
        <v>0</v>
      </c>
      <c r="C99" t="s">
        <v>132</v>
      </c>
    </row>
    <row r="100" spans="1:15">
      <c r="A100" t="s">
        <v>136</v>
      </c>
      <c r="B100" s="17">
        <v>0</v>
      </c>
      <c r="C100" t="s">
        <v>132</v>
      </c>
      <c r="E100" t="s">
        <v>137</v>
      </c>
      <c r="J100" s="20">
        <f>J98*1000</f>
        <v>0</v>
      </c>
      <c r="K100" t="s">
        <v>33</v>
      </c>
    </row>
    <row r="101" spans="1:15" ht="31.5" customHeight="1"/>
    <row r="102" spans="1:15">
      <c r="A102" t="s">
        <v>26</v>
      </c>
    </row>
    <row r="103" spans="1:15">
      <c r="A103" s="27" t="s">
        <v>138</v>
      </c>
      <c r="B103" s="27"/>
      <c r="C103" s="27"/>
      <c r="D103" s="27"/>
      <c r="E103" s="27"/>
      <c r="F103" s="27"/>
      <c r="G103" s="27"/>
      <c r="H103" s="27"/>
      <c r="I103" s="27"/>
      <c r="J103" s="27"/>
      <c r="K103" s="27"/>
      <c r="L103" s="27"/>
      <c r="M103" s="27"/>
      <c r="N103" s="27"/>
      <c r="O103" s="27"/>
    </row>
    <row r="104" spans="1:15">
      <c r="A104" s="25" t="s">
        <v>139</v>
      </c>
      <c r="B104" s="25"/>
      <c r="C104" s="25"/>
      <c r="D104" s="25"/>
      <c r="E104" s="25"/>
      <c r="F104" s="25"/>
      <c r="G104" s="25"/>
      <c r="H104" s="25"/>
      <c r="I104" s="25"/>
      <c r="J104" s="25"/>
      <c r="K104" s="25"/>
      <c r="L104" s="25"/>
      <c r="M104" s="25"/>
      <c r="N104" s="25"/>
      <c r="O104" s="25"/>
    </row>
  </sheetData>
  <sheetProtection algorithmName="SHA-512" hashValue="17fa5hytFnaeXg7EszsM83oDHOTsd3XtiNCo/53IM+20T0kIiGE+yUHm2ReWzdaRStKrNXH+DD/Y36S6LAGhOQ==" saltValue="62EJjnlm2oSl/BNHvwZz3A==" spinCount="100000" sheet="1" objects="1" scenarios="1"/>
  <mergeCells count="39">
    <mergeCell ref="A8:O8"/>
    <mergeCell ref="A12:O12"/>
    <mergeCell ref="A64:O64"/>
    <mergeCell ref="A51:O51"/>
    <mergeCell ref="A91:O91"/>
    <mergeCell ref="A66:O66"/>
    <mergeCell ref="A32:O32"/>
    <mergeCell ref="A29:O29"/>
    <mergeCell ref="A90:O90"/>
    <mergeCell ref="B70:O70"/>
    <mergeCell ref="B71:O71"/>
    <mergeCell ref="B33:O33"/>
    <mergeCell ref="A86:O86"/>
    <mergeCell ref="A103:O103"/>
    <mergeCell ref="B35:O35"/>
    <mergeCell ref="A47:O47"/>
    <mergeCell ref="A69:O69"/>
    <mergeCell ref="A104:O104"/>
    <mergeCell ref="A94:O94"/>
    <mergeCell ref="B95:O95"/>
    <mergeCell ref="A48:O48"/>
    <mergeCell ref="A92:O92"/>
    <mergeCell ref="A79:O79"/>
    <mergeCell ref="A2:O2"/>
    <mergeCell ref="B96:O96"/>
    <mergeCell ref="B3:O3"/>
    <mergeCell ref="B4:O4"/>
    <mergeCell ref="A7:O7"/>
    <mergeCell ref="A9:O9"/>
    <mergeCell ref="A10:O10"/>
    <mergeCell ref="B53:O53"/>
    <mergeCell ref="B54:O54"/>
    <mergeCell ref="B55:O55"/>
    <mergeCell ref="A65:N65"/>
    <mergeCell ref="B80:O80"/>
    <mergeCell ref="B81:O81"/>
    <mergeCell ref="A87:N87"/>
    <mergeCell ref="A76:O76"/>
    <mergeCell ref="B34:O34"/>
  </mergeCells>
  <hyperlinks>
    <hyperlink ref="A8:O8" r:id="rId1" display="Link to EPA's HSNO-GHS7 Correlation Table" xr:uid="{5C3DE2C4-97A6-4CF9-8AEB-F7AE80B77211}"/>
  </hyperlinks>
  <pageMargins left="0.7" right="0.7" top="0.75" bottom="0.75" header="0.3" footer="0.3"/>
  <pageSetup paperSize="9" orientation="portrait" r:id="rId2"/>
  <headerFooter>
    <oddFooter>&amp;L&amp;1#&amp;"Calibri"&amp;10&amp;K000000IN-CONFIDENCE:RELEASE EXTERNAL</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F61D-1EE0-4B7F-9793-DB404E757F76}">
  <dimension ref="A1:S56"/>
  <sheetViews>
    <sheetView topLeftCell="B1" zoomScaleNormal="100" workbookViewId="0">
      <selection activeCell="O7" sqref="O7"/>
    </sheetView>
  </sheetViews>
  <sheetFormatPr defaultRowHeight="14.45"/>
  <cols>
    <col min="1" max="1" width="11.5703125" bestFit="1" customWidth="1"/>
    <col min="2" max="2" width="9.140625" bestFit="1" customWidth="1"/>
    <col min="8" max="8" width="14.140625" bestFit="1" customWidth="1"/>
  </cols>
  <sheetData>
    <row r="1" spans="1:19">
      <c r="A1" t="s">
        <v>140</v>
      </c>
      <c r="B1" t="s">
        <v>141</v>
      </c>
      <c r="C1" t="s">
        <v>142</v>
      </c>
      <c r="E1" s="15" t="s">
        <v>143</v>
      </c>
      <c r="J1" s="3" t="s">
        <v>144</v>
      </c>
      <c r="K1" s="3"/>
      <c r="L1" s="3" t="s">
        <v>145</v>
      </c>
      <c r="M1" s="3"/>
      <c r="N1" s="3"/>
      <c r="O1" s="3" t="s">
        <v>146</v>
      </c>
      <c r="P1" s="3"/>
      <c r="Q1" s="3"/>
      <c r="R1" s="3" t="s">
        <v>147</v>
      </c>
    </row>
    <row r="2" spans="1:19">
      <c r="A2" t="s">
        <v>32</v>
      </c>
      <c r="B2" s="9">
        <v>100</v>
      </c>
      <c r="C2">
        <f>IF('Calculation Tool'!$B$14&gt;BackEnd!$B$2, 1,0)</f>
        <v>0</v>
      </c>
      <c r="E2" s="15">
        <f>('Calculation Tool'!$E$38+'Calculation Tool'!$E$40+'Calculation Tool'!$E$42)*0.5</f>
        <v>0</v>
      </c>
      <c r="G2">
        <v>10.31</v>
      </c>
      <c r="H2" s="13" t="s">
        <v>148</v>
      </c>
      <c r="I2" s="13"/>
      <c r="J2" s="14">
        <v>0.5</v>
      </c>
      <c r="L2">
        <f>'Calculation Tool'!$E$38*0.5</f>
        <v>0</v>
      </c>
      <c r="O2">
        <f>IF('Calculation Tool'!$E$38&lt;5000,BackEnd!$L$2,BackEnd!$M$3)</f>
        <v>0</v>
      </c>
      <c r="R2">
        <f>$O$2+$O$6+$O$10</f>
        <v>0</v>
      </c>
      <c r="S2" t="s">
        <v>149</v>
      </c>
    </row>
    <row r="3" spans="1:19">
      <c r="A3" t="s">
        <v>38</v>
      </c>
      <c r="B3" s="9">
        <v>1000</v>
      </c>
      <c r="C3">
        <f>IF('Calculation Tool'!$B$15&gt;BackEnd!$B$3, 1,0)</f>
        <v>0</v>
      </c>
      <c r="E3" s="15">
        <f>('Calculation Tool'!$E$38+'Calculation Tool'!$E$40+'Calculation Tool'!$E$42)*0.25</f>
        <v>0</v>
      </c>
      <c r="G3">
        <v>12.14</v>
      </c>
      <c r="H3" t="s">
        <v>150</v>
      </c>
      <c r="J3" s="11">
        <v>0.25</v>
      </c>
      <c r="L3">
        <f>'Calculation Tool'!$E$38*0.25</f>
        <v>0</v>
      </c>
      <c r="M3">
        <f>IF($L$3&gt;$L$4,$L$3, 2500)</f>
        <v>2500</v>
      </c>
      <c r="N3" s="15">
        <f>IF($E$3&gt;$L$4,$E$3,2500)</f>
        <v>2500</v>
      </c>
      <c r="O3" s="15">
        <f>IF('Calculation Tool'!$E$38=0,0, IF(('Calculation Tool'!$E$38+'Calculation Tool'!$E$40+'Calculation Tool'!$E$42)&lt;5000,BackEnd!$E$2,BackEnd!$N$3))</f>
        <v>0</v>
      </c>
      <c r="R3" s="15">
        <f>$O$3+$O$7+$O$11</f>
        <v>0</v>
      </c>
      <c r="S3" t="s">
        <v>151</v>
      </c>
    </row>
    <row r="4" spans="1:19">
      <c r="A4" t="s">
        <v>43</v>
      </c>
      <c r="B4" s="30">
        <v>10000</v>
      </c>
      <c r="C4">
        <f>IF(('Calculation Tool'!$B$16+'Calculation Tool'!$B$17)&gt;BackEnd!$B$4, 1,0)</f>
        <v>0</v>
      </c>
      <c r="G4">
        <v>12.39</v>
      </c>
      <c r="H4" s="13"/>
      <c r="I4" s="13"/>
      <c r="J4" s="13">
        <v>2500</v>
      </c>
      <c r="L4">
        <v>2500</v>
      </c>
      <c r="R4" s="16">
        <f>MAX($O$3,$O$7,$O$11)</f>
        <v>0</v>
      </c>
      <c r="S4" t="s">
        <v>152</v>
      </c>
    </row>
    <row r="5" spans="1:19">
      <c r="A5" t="s">
        <v>48</v>
      </c>
      <c r="B5" s="30"/>
    </row>
    <row r="6" spans="1:19">
      <c r="A6" t="s">
        <v>53</v>
      </c>
      <c r="B6" s="30">
        <v>100</v>
      </c>
      <c r="C6">
        <f>IF(('Calculation Tool'!$B$18+'Calculation Tool'!$B$19+'Calculation Tool'!$B$20)&gt;BackEnd!$B$6, 1,0)</f>
        <v>0</v>
      </c>
      <c r="E6" s="15">
        <f>('Calculation Tool'!$E$38+'Calculation Tool'!$E$40+'Calculation Tool'!$E$42)*1</f>
        <v>0</v>
      </c>
      <c r="G6">
        <v>10.32</v>
      </c>
      <c r="H6" s="13" t="s">
        <v>148</v>
      </c>
      <c r="I6" s="13"/>
      <c r="J6" s="14">
        <v>1</v>
      </c>
      <c r="L6">
        <f>'Calculation Tool'!$E$40</f>
        <v>0</v>
      </c>
      <c r="O6">
        <f>IF('Calculation Tool'!$E$40&lt;5000,BackEnd!$L$6,BackEnd!$M$7)</f>
        <v>0</v>
      </c>
    </row>
    <row r="7" spans="1:19">
      <c r="A7" t="s">
        <v>57</v>
      </c>
      <c r="B7" s="30"/>
      <c r="E7" s="15">
        <f>('Calculation Tool'!$E$38+'Calculation Tool'!$E$40+'Calculation Tool'!$E$42)*0.5</f>
        <v>0</v>
      </c>
      <c r="G7">
        <v>12.15</v>
      </c>
      <c r="H7" t="s">
        <v>150</v>
      </c>
      <c r="J7" s="11">
        <v>0.5</v>
      </c>
      <c r="L7">
        <f>'Calculation Tool'!$E$40*0.5</f>
        <v>0</v>
      </c>
      <c r="M7">
        <f>IF($L$7&gt;$L$8,$L$7,5000)</f>
        <v>5000</v>
      </c>
      <c r="N7" s="15">
        <f>IF($E$7&gt;$L$8,$E$7,5000)</f>
        <v>5000</v>
      </c>
      <c r="O7" s="15">
        <f>IF('Calculation Tool'!$E$40=0, 0, IF(('Calculation Tool'!$E$38+'Calculation Tool'!$E$40+'Calculation Tool'!$E$42)&lt;5000,BackEnd!$E$6,BackEnd!$N$7))</f>
        <v>0</v>
      </c>
    </row>
    <row r="8" spans="1:19">
      <c r="A8" t="s">
        <v>62</v>
      </c>
      <c r="B8" s="30"/>
      <c r="G8" s="8">
        <v>12.4</v>
      </c>
      <c r="H8" s="13"/>
      <c r="I8" s="13"/>
      <c r="J8" s="13">
        <v>5000</v>
      </c>
      <c r="L8">
        <v>5000</v>
      </c>
    </row>
    <row r="9" spans="1:19">
      <c r="A9" t="s">
        <v>34</v>
      </c>
      <c r="B9" s="30">
        <v>50</v>
      </c>
      <c r="C9">
        <f>IF(('Calculation Tool'!$E$14+'Calculation Tool'!$E$15)&gt;BackEnd!$B$9, 1,0)</f>
        <v>0</v>
      </c>
    </row>
    <row r="10" spans="1:19">
      <c r="A10" t="s">
        <v>39</v>
      </c>
      <c r="B10" s="30"/>
      <c r="E10" s="15">
        <f>('Calculation Tool'!$E$38+'Calculation Tool'!$E$40+'Calculation Tool'!$E$42)*1</f>
        <v>0</v>
      </c>
      <c r="G10">
        <v>10.33</v>
      </c>
      <c r="H10" s="13" t="s">
        <v>148</v>
      </c>
      <c r="I10" s="13"/>
      <c r="J10" s="14">
        <v>1</v>
      </c>
      <c r="L10">
        <f>'Calculation Tool'!$E$42</f>
        <v>0</v>
      </c>
      <c r="O10">
        <f>IF('Calculation Tool'!$E$42&lt;5000,BackEnd!$L$10,BackEnd!$M$11)</f>
        <v>0</v>
      </c>
    </row>
    <row r="11" spans="1:19">
      <c r="A11" t="s">
        <v>44</v>
      </c>
      <c r="B11" s="30">
        <v>100</v>
      </c>
      <c r="C11">
        <f>IF(('Calculation Tool'!$E$16+'Calculation Tool'!$E$17)&gt;BackEnd!$B$11, 1,0)</f>
        <v>0</v>
      </c>
      <c r="E11" s="15">
        <f>('Calculation Tool'!$E$38+'Calculation Tool'!$E$40+'Calculation Tool'!$E$42)*0.5</f>
        <v>0</v>
      </c>
      <c r="G11">
        <v>12.16</v>
      </c>
      <c r="H11" t="s">
        <v>150</v>
      </c>
      <c r="J11" s="11">
        <v>0.5</v>
      </c>
      <c r="L11">
        <f>'Calculation Tool'!$E$42*0.5</f>
        <v>0</v>
      </c>
      <c r="M11">
        <f>IF($L$11&gt;$L$12,$L$11,5000)</f>
        <v>5000</v>
      </c>
      <c r="N11" s="15">
        <f>IF($E$11&gt;$L$12,$E$11,5000)</f>
        <v>5000</v>
      </c>
      <c r="O11" s="15">
        <f>IF('Calculation Tool'!$E$42=0, 0, IF(('Calculation Tool'!$E$38+'Calculation Tool'!$E$40+'Calculation Tool'!$E$42)&lt;5000,BackEnd!$E$10,BackEnd!$N11))</f>
        <v>0</v>
      </c>
    </row>
    <row r="12" spans="1:19">
      <c r="A12" t="s">
        <v>49</v>
      </c>
      <c r="B12" s="30"/>
      <c r="G12">
        <v>12.41</v>
      </c>
      <c r="H12" s="13"/>
      <c r="I12" s="13"/>
      <c r="J12" s="13">
        <v>5000</v>
      </c>
      <c r="L12">
        <v>5000</v>
      </c>
    </row>
    <row r="13" spans="1:19">
      <c r="A13" t="s">
        <v>54</v>
      </c>
      <c r="B13" s="30">
        <v>200</v>
      </c>
      <c r="C13">
        <f>IF(('Calculation Tool'!$E$18+'Calculation Tool'!$E$19+'Calculation Tool'!$E$20)&gt;BackEnd!$B$13, 1,0)</f>
        <v>0</v>
      </c>
    </row>
    <row r="14" spans="1:19">
      <c r="A14" t="s">
        <v>58</v>
      </c>
      <c r="B14" s="30"/>
    </row>
    <row r="15" spans="1:19">
      <c r="A15" t="s">
        <v>63</v>
      </c>
      <c r="B15" s="30"/>
      <c r="E15" s="15">
        <f>('Calculation Tool'!$E$38+'Calculation Tool'!$E$40+'Calculation Tool'!$E$42)*0.25</f>
        <v>0</v>
      </c>
      <c r="G15">
        <v>13.31</v>
      </c>
      <c r="H15" s="13" t="s">
        <v>153</v>
      </c>
      <c r="I15" s="13"/>
      <c r="J15" s="14">
        <v>0.25</v>
      </c>
      <c r="L15">
        <f>'Calculation Tool'!$E$38*0.25</f>
        <v>0</v>
      </c>
      <c r="O15">
        <f>IF('Calculation Tool'!$E$38&lt;20000,BackEnd!$L$15,BackEnd!$M$16)</f>
        <v>0</v>
      </c>
      <c r="R15">
        <f>$O$15+$O$19+$O$24</f>
        <v>0</v>
      </c>
      <c r="S15" t="s">
        <v>149</v>
      </c>
    </row>
    <row r="16" spans="1:19">
      <c r="A16" t="s">
        <v>67</v>
      </c>
      <c r="B16" s="30">
        <v>100</v>
      </c>
      <c r="C16">
        <f>IF(('Calculation Tool'!$E$21+'Calculation Tool'!$E$22+'Calculation Tool'!$E$23)&gt;BackEnd!$B$16, 1,0)</f>
        <v>0</v>
      </c>
      <c r="E16" s="15">
        <f>('Calculation Tool'!$E$38+'Calculation Tool'!$E$40+'Calculation Tool'!$E$42)*0.05</f>
        <v>0</v>
      </c>
      <c r="H16" s="12" t="s">
        <v>154</v>
      </c>
      <c r="J16" s="11">
        <v>0.05</v>
      </c>
      <c r="L16">
        <f>'Calculation Tool'!$E$38*0.05</f>
        <v>0</v>
      </c>
      <c r="M16">
        <f>IF($L$16&gt;$L$17,$L$16,5000)</f>
        <v>5000</v>
      </c>
      <c r="N16" s="15">
        <f>IF($E$16&gt;$L$17,$E$16,5000)</f>
        <v>5000</v>
      </c>
      <c r="O16" s="15">
        <f>IF('Calculation Tool'!$E$38=0,0, IF(('Calculation Tool'!$E$38+'Calculation Tool'!$E$40+'Calculation Tool'!$E$42)&lt;20000,BackEnd!$E$15,BackEnd!$N16))</f>
        <v>0</v>
      </c>
      <c r="R16" s="15">
        <f>$O$16+$O$20+$O$25</f>
        <v>0</v>
      </c>
      <c r="S16" t="s">
        <v>151</v>
      </c>
    </row>
    <row r="17" spans="1:19">
      <c r="A17" t="s">
        <v>71</v>
      </c>
      <c r="B17" s="30"/>
      <c r="H17" s="13"/>
      <c r="I17" s="13"/>
      <c r="J17" s="13">
        <v>5000</v>
      </c>
      <c r="L17">
        <v>5000</v>
      </c>
      <c r="R17" s="16">
        <f>MAX($O$16,$O$20,$O$25)</f>
        <v>0</v>
      </c>
      <c r="S17" t="s">
        <v>152</v>
      </c>
    </row>
    <row r="18" spans="1:19">
      <c r="A18" t="s">
        <v>75</v>
      </c>
      <c r="B18" s="30"/>
    </row>
    <row r="19" spans="1:19">
      <c r="A19" t="s">
        <v>77</v>
      </c>
      <c r="B19" s="9">
        <v>100</v>
      </c>
      <c r="C19">
        <f>IF('Calculation Tool'!$E$24&gt;BackEnd!$B$19, 1,0)</f>
        <v>0</v>
      </c>
      <c r="E19" s="15">
        <f>('Calculation Tool'!$E$38+'Calculation Tool'!$E$40+'Calculation Tool'!$E$42)*0.25</f>
        <v>0</v>
      </c>
      <c r="G19">
        <v>13.32</v>
      </c>
      <c r="H19" t="s">
        <v>153</v>
      </c>
      <c r="J19" s="11">
        <v>0.25</v>
      </c>
      <c r="L19">
        <f>'Calculation Tool'!$E$40*0.25</f>
        <v>0</v>
      </c>
      <c r="O19">
        <f>IF('Calculation Tool'!$E$40&lt;20000,BackEnd!$M$20,BackEnd!$M$21)</f>
        <v>0</v>
      </c>
    </row>
    <row r="20" spans="1:19">
      <c r="A20" t="s">
        <v>79</v>
      </c>
      <c r="B20" s="9">
        <v>100</v>
      </c>
      <c r="C20">
        <f>IF('Calculation Tool'!$E$25&gt;BackEnd!$B$20, 1,0)</f>
        <v>0</v>
      </c>
      <c r="E20" s="15">
        <f>('Calculation Tool'!$E$38+'Calculation Tool'!$E$40+'Calculation Tool'!$E$42)*0.05</f>
        <v>0</v>
      </c>
      <c r="H20" s="13"/>
      <c r="I20" s="13"/>
      <c r="J20" s="14">
        <v>1.1000000000000001</v>
      </c>
      <c r="L20">
        <f>'Calculation Tool'!$O$40*1.1</f>
        <v>0</v>
      </c>
      <c r="M20">
        <f>IF($L$19&gt;$L$20,$L$19,$L$20)</f>
        <v>0</v>
      </c>
      <c r="N20" s="15">
        <f>IF($E$19&gt;$L$20,$E$19,$L$20)</f>
        <v>0</v>
      </c>
      <c r="O20" s="15">
        <f>IF('Calculation Tool'!$E$40=0, 0, IF(('Calculation Tool'!$E$38+'Calculation Tool'!$E$40+'Calculation Tool'!$E$42)&lt;20000,BackEnd!$N$20,BackEnd!$N21))</f>
        <v>0</v>
      </c>
    </row>
    <row r="21" spans="1:19">
      <c r="A21" t="s">
        <v>80</v>
      </c>
      <c r="B21" s="9">
        <v>1000</v>
      </c>
      <c r="C21">
        <f>IF('Calculation Tool'!$E$26&gt;BackEnd!$B$21, 1,0)</f>
        <v>0</v>
      </c>
      <c r="H21" s="12" t="s">
        <v>154</v>
      </c>
      <c r="J21" s="11">
        <v>0.05</v>
      </c>
      <c r="L21">
        <f>'Calculation Tool'!E40*0.05</f>
        <v>0</v>
      </c>
      <c r="M21">
        <f>IF($L$21&gt;$L$22,$L$21,5000)</f>
        <v>5000</v>
      </c>
      <c r="N21" s="15">
        <f>IF($E$20&gt;$L$22,$E$20,5000)</f>
        <v>5000</v>
      </c>
    </row>
    <row r="22" spans="1:19">
      <c r="A22" t="s">
        <v>82</v>
      </c>
      <c r="B22" s="9">
        <v>10000</v>
      </c>
      <c r="C22">
        <f>IF('Calculation Tool'!$E$27&gt;BackEnd!$B$22, 1,0)</f>
        <v>0</v>
      </c>
      <c r="H22" s="13"/>
      <c r="I22" s="13"/>
      <c r="J22" s="13">
        <v>5000</v>
      </c>
      <c r="L22">
        <v>5000</v>
      </c>
    </row>
    <row r="23" spans="1:19">
      <c r="A23" t="s">
        <v>35</v>
      </c>
      <c r="B23" s="9">
        <v>50</v>
      </c>
      <c r="C23">
        <f>IF('Calculation Tool'!$H$14&gt;BackEnd!$B$23, 1,0)</f>
        <v>0</v>
      </c>
    </row>
    <row r="24" spans="1:19">
      <c r="A24" t="s">
        <v>40</v>
      </c>
      <c r="B24" s="9">
        <v>500</v>
      </c>
      <c r="C24">
        <f>IF('Calculation Tool'!$H$15&gt;BackEnd!$B$24, 1,0)</f>
        <v>0</v>
      </c>
      <c r="E24" s="15">
        <f>('Calculation Tool'!$E$38+'Calculation Tool'!$E$40+'Calculation Tool'!$E$42)*0.25</f>
        <v>0</v>
      </c>
      <c r="G24">
        <v>13.33</v>
      </c>
      <c r="H24" t="s">
        <v>153</v>
      </c>
      <c r="J24" s="11">
        <v>0.25</v>
      </c>
      <c r="L24">
        <f>'Calculation Tool'!$E$42*0.25</f>
        <v>0</v>
      </c>
      <c r="O24">
        <f>IF('Calculation Tool'!$E$42&lt;20000,BackEnd!$M$25,BackEnd!$M$26)</f>
        <v>0</v>
      </c>
    </row>
    <row r="25" spans="1:19">
      <c r="A25" t="s">
        <v>45</v>
      </c>
      <c r="B25" s="9">
        <v>5000</v>
      </c>
      <c r="C25">
        <f>IF('Calculation Tool'!$H$16&gt;BackEnd!$B$25, 1,0)</f>
        <v>0</v>
      </c>
      <c r="E25" s="15">
        <f>('Calculation Tool'!$E$38+'Calculation Tool'!$E$40+'Calculation Tool'!$E$42)*0.05</f>
        <v>0</v>
      </c>
      <c r="H25" s="13"/>
      <c r="I25" s="13"/>
      <c r="J25" s="14">
        <v>1.1000000000000001</v>
      </c>
      <c r="L25">
        <f>'Calculation Tool'!$O$42*1.1</f>
        <v>0</v>
      </c>
      <c r="M25">
        <f>IF($L$24&gt;$L$25,$L$24,$L$25)</f>
        <v>0</v>
      </c>
      <c r="N25" s="15">
        <f>IF($E$24&gt;$L$25,$E$24,$L$25)</f>
        <v>0</v>
      </c>
      <c r="O25" s="15">
        <f>IF('Calculation Tool'!$E$42=0,0,IF(('Calculation Tool'!$E$38+'Calculation Tool'!$E$40+'Calculation Tool'!$E$42)&lt;20000,BackEnd!$N$25,BackEnd!$N26))</f>
        <v>0</v>
      </c>
    </row>
    <row r="26" spans="1:19">
      <c r="A26" t="s">
        <v>50</v>
      </c>
      <c r="B26" s="30">
        <v>10</v>
      </c>
      <c r="C26">
        <f>IF(('Calculation Tool'!$H$17+'Calculation Tool'!$H$18)&gt;BackEnd!$B$26, 1,0)</f>
        <v>0</v>
      </c>
      <c r="H26" s="12" t="s">
        <v>154</v>
      </c>
      <c r="J26" s="11">
        <v>0.05</v>
      </c>
      <c r="L26">
        <f>'Calculation Tool'!$E$42*0.05</f>
        <v>0</v>
      </c>
      <c r="M26">
        <f>IF($L$26&gt;$L$27,$L$26,5000)</f>
        <v>5000</v>
      </c>
      <c r="N26" s="15">
        <f>IF($E$25&gt;$L$27,$E$25,5000)</f>
        <v>5000</v>
      </c>
    </row>
    <row r="27" spans="1:19">
      <c r="A27" t="s">
        <v>55</v>
      </c>
      <c r="B27" s="30"/>
      <c r="H27" s="13"/>
      <c r="I27" s="13"/>
      <c r="J27" s="13">
        <v>5000</v>
      </c>
      <c r="L27">
        <v>5000</v>
      </c>
    </row>
    <row r="28" spans="1:19">
      <c r="A28" t="s">
        <v>59</v>
      </c>
      <c r="B28" s="30">
        <v>25</v>
      </c>
      <c r="C28">
        <f>IF(('Calculation Tool'!$H$19+'Calculation Tool'!$H$20)&gt;BackEnd!$B$28, 1,0)</f>
        <v>0</v>
      </c>
    </row>
    <row r="29" spans="1:19">
      <c r="A29" t="s">
        <v>64</v>
      </c>
      <c r="B29" s="30"/>
    </row>
    <row r="30" spans="1:19">
      <c r="A30" t="s">
        <v>68</v>
      </c>
      <c r="B30" s="30">
        <v>100</v>
      </c>
      <c r="C30">
        <f>IF(('Calculation Tool'!$H$21+'Calculation Tool'!$H$22)&gt;BackEnd!$B$30, 1,0)</f>
        <v>0</v>
      </c>
    </row>
    <row r="31" spans="1:19">
      <c r="A31" t="s">
        <v>72</v>
      </c>
      <c r="B31" s="30"/>
    </row>
    <row r="32" spans="1:19">
      <c r="A32" t="s">
        <v>36</v>
      </c>
      <c r="B32" s="30">
        <v>100</v>
      </c>
      <c r="C32">
        <f>IF(('Calculation Tool'!$K$14+'Calculation Tool'!$K$15+'Calculation Tool'!$K$16)&gt;BackEnd!$B$32, 1,0)</f>
        <v>0</v>
      </c>
    </row>
    <row r="33" spans="1:3">
      <c r="A33" t="s">
        <v>41</v>
      </c>
      <c r="B33" s="30"/>
    </row>
    <row r="34" spans="1:3">
      <c r="A34" t="s">
        <v>46</v>
      </c>
      <c r="B34" s="30"/>
    </row>
    <row r="35" spans="1:3">
      <c r="A35" t="s">
        <v>51</v>
      </c>
      <c r="B35" s="30">
        <v>1000</v>
      </c>
      <c r="C35">
        <f>IF(('Calculation Tool'!$K$17+'Calculation Tool'!$K$18+'Calculation Tool'!$K$19+'Calculation Tool'!$K$21)&gt;BackEnd!$B$35, 1,0)</f>
        <v>0</v>
      </c>
    </row>
    <row r="36" spans="1:3">
      <c r="A36" t="s">
        <v>56</v>
      </c>
      <c r="B36" s="30"/>
    </row>
    <row r="37" spans="1:3">
      <c r="A37" t="s">
        <v>60</v>
      </c>
      <c r="B37" s="30"/>
    </row>
    <row r="38" spans="1:3">
      <c r="A38" t="s">
        <v>69</v>
      </c>
      <c r="B38" s="30"/>
    </row>
    <row r="39" spans="1:3">
      <c r="A39" t="s">
        <v>65</v>
      </c>
      <c r="B39" s="30">
        <v>10000</v>
      </c>
      <c r="C39">
        <f>IF(('Calculation Tool'!$K$20+'Calculation Tool'!$K$22+'Calculation Tool'!$K$23+'Calculation Tool'!$K$24)&gt;BackEnd!$B$39, 1,0)</f>
        <v>0</v>
      </c>
    </row>
    <row r="40" spans="1:3">
      <c r="A40" t="s">
        <v>73</v>
      </c>
      <c r="B40" s="30"/>
    </row>
    <row r="41" spans="1:3">
      <c r="A41" t="s">
        <v>76</v>
      </c>
      <c r="B41" s="30"/>
    </row>
    <row r="42" spans="1:3">
      <c r="A42" t="s">
        <v>78</v>
      </c>
      <c r="B42" s="30"/>
    </row>
    <row r="43" spans="1:3">
      <c r="A43" t="s">
        <v>37</v>
      </c>
      <c r="B43" s="9">
        <v>100</v>
      </c>
      <c r="C43">
        <f>IF('Calculation Tool'!$N$14&gt;BackEnd!$B$43, 1,0)</f>
        <v>0</v>
      </c>
    </row>
    <row r="44" spans="1:3">
      <c r="A44" t="s">
        <v>42</v>
      </c>
      <c r="B44" s="9">
        <v>1000</v>
      </c>
      <c r="C44">
        <f>IF('Calculation Tool'!$N$15&gt;BackEnd!$B$44, 1,0)</f>
        <v>0</v>
      </c>
    </row>
    <row r="45" spans="1:3">
      <c r="A45" t="s">
        <v>47</v>
      </c>
      <c r="B45" s="30">
        <v>10000</v>
      </c>
      <c r="C45">
        <f>IF(('Calculation Tool'!$N$16+'Calculation Tool'!$N$17)&gt;BackEnd!$B$45, 1,0)</f>
        <v>0</v>
      </c>
    </row>
    <row r="46" spans="1:3">
      <c r="A46" t="s">
        <v>52</v>
      </c>
      <c r="B46" s="30"/>
    </row>
    <row r="47" spans="1:3">
      <c r="A47" t="s">
        <v>61</v>
      </c>
      <c r="B47" s="7">
        <v>100</v>
      </c>
      <c r="C47">
        <f>IF('Calculation Tool'!$N$19&gt;BackEnd!$B$47, 1,0)</f>
        <v>0</v>
      </c>
    </row>
    <row r="48" spans="1:3">
      <c r="A48" t="s">
        <v>66</v>
      </c>
      <c r="B48" s="30">
        <v>1000</v>
      </c>
      <c r="C48">
        <f>IF(('Calculation Tool'!$N$20+'Calculation Tool'!$N$21)&gt;BackEnd!$B$48, 1,0)</f>
        <v>0</v>
      </c>
    </row>
    <row r="49" spans="1:3">
      <c r="A49" t="s">
        <v>70</v>
      </c>
      <c r="B49" s="30"/>
    </row>
    <row r="50" spans="1:3">
      <c r="A50" t="s">
        <v>74</v>
      </c>
      <c r="B50" s="7">
        <v>10000</v>
      </c>
      <c r="C50">
        <f>IF('Calculation Tool'!$N$22&gt;BackEnd!$B$50, 1,0)</f>
        <v>0</v>
      </c>
    </row>
    <row r="52" spans="1:3">
      <c r="A52" t="s">
        <v>155</v>
      </c>
      <c r="C52">
        <f>SUM(C2:C50)</f>
        <v>0</v>
      </c>
    </row>
    <row r="53" spans="1:3">
      <c r="A53" t="s">
        <v>156</v>
      </c>
    </row>
    <row r="54" spans="1:3">
      <c r="A54" t="s">
        <v>157</v>
      </c>
    </row>
    <row r="55" spans="1:3">
      <c r="A55" t="s">
        <v>158</v>
      </c>
    </row>
    <row r="56" spans="1:3">
      <c r="A56" t="s">
        <v>159</v>
      </c>
    </row>
  </sheetData>
  <mergeCells count="14">
    <mergeCell ref="B16:B18"/>
    <mergeCell ref="B4:B5"/>
    <mergeCell ref="B6:B8"/>
    <mergeCell ref="B9:B10"/>
    <mergeCell ref="B11:B12"/>
    <mergeCell ref="B13:B15"/>
    <mergeCell ref="B48:B49"/>
    <mergeCell ref="B26:B27"/>
    <mergeCell ref="B28:B29"/>
    <mergeCell ref="B30:B31"/>
    <mergeCell ref="B32:B34"/>
    <mergeCell ref="B35:B38"/>
    <mergeCell ref="B39:B42"/>
    <mergeCell ref="B45:B46"/>
  </mergeCells>
  <pageMargins left="0.7" right="0.7" top="0.75" bottom="0.75" header="0.3" footer="0.3"/>
  <pageSetup paperSize="9" orientation="portrait" r:id="rId1"/>
  <headerFooter>
    <oddFooter>&amp;L&amp;1#&amp;"Calibri"&amp;10&amp;K000000IN-CONFIDENCE:RELEASE EXTERNAL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5F7F-ADBE-4B26-B5C9-8A0A0CBA6994}">
  <dimension ref="A1:G22"/>
  <sheetViews>
    <sheetView workbookViewId="0">
      <selection activeCell="D5" sqref="D5"/>
    </sheetView>
  </sheetViews>
  <sheetFormatPr defaultRowHeight="14.45"/>
  <sheetData>
    <row r="1" spans="1:7">
      <c r="A1" s="3" t="s">
        <v>160</v>
      </c>
    </row>
    <row r="2" spans="1:7">
      <c r="A2" t="s">
        <v>161</v>
      </c>
      <c r="B2" s="8">
        <v>10.3</v>
      </c>
      <c r="C2">
        <v>10.31</v>
      </c>
      <c r="D2">
        <v>10.32</v>
      </c>
      <c r="E2">
        <v>10.33</v>
      </c>
      <c r="G2" t="s">
        <v>162</v>
      </c>
    </row>
    <row r="3" spans="1:7">
      <c r="A3" t="s">
        <v>163</v>
      </c>
      <c r="B3" s="10">
        <v>17.100000000000001</v>
      </c>
      <c r="C3">
        <v>17.102</v>
      </c>
    </row>
    <row r="4" spans="1:7">
      <c r="A4" t="s">
        <v>164</v>
      </c>
      <c r="B4">
        <v>17.100999999999999</v>
      </c>
    </row>
    <row r="6" spans="1:7">
      <c r="A6" s="3" t="s">
        <v>165</v>
      </c>
    </row>
    <row r="7" spans="1:7">
      <c r="A7" t="s">
        <v>166</v>
      </c>
      <c r="G7">
        <v>10.31</v>
      </c>
    </row>
    <row r="8" spans="1:7">
      <c r="A8" t="s">
        <v>167</v>
      </c>
      <c r="C8" t="s">
        <v>168</v>
      </c>
      <c r="D8" s="11">
        <v>0.5</v>
      </c>
    </row>
    <row r="9" spans="1:7">
      <c r="C9" s="12" t="s">
        <v>169</v>
      </c>
      <c r="D9" s="11">
        <v>0.25</v>
      </c>
      <c r="E9" s="30" t="s">
        <v>170</v>
      </c>
      <c r="F9" s="30"/>
      <c r="G9" s="30"/>
    </row>
    <row r="10" spans="1:7">
      <c r="D10" t="s">
        <v>171</v>
      </c>
      <c r="E10" s="30"/>
      <c r="F10" s="30"/>
      <c r="G10" s="30"/>
    </row>
    <row r="12" spans="1:7">
      <c r="A12" t="s">
        <v>172</v>
      </c>
      <c r="G12">
        <v>10.32</v>
      </c>
    </row>
    <row r="13" spans="1:7">
      <c r="A13" t="s">
        <v>167</v>
      </c>
      <c r="C13" t="s">
        <v>168</v>
      </c>
      <c r="D13" s="11">
        <v>1</v>
      </c>
    </row>
    <row r="14" spans="1:7">
      <c r="C14" s="12" t="s">
        <v>169</v>
      </c>
      <c r="D14" s="11">
        <v>0.5</v>
      </c>
      <c r="E14" s="30" t="s">
        <v>170</v>
      </c>
      <c r="F14" s="30"/>
      <c r="G14" s="30"/>
    </row>
    <row r="15" spans="1:7">
      <c r="D15" t="s">
        <v>173</v>
      </c>
      <c r="E15" s="30"/>
      <c r="F15" s="30"/>
      <c r="G15" s="30"/>
    </row>
    <row r="17" spans="1:7">
      <c r="A17" t="s">
        <v>174</v>
      </c>
      <c r="G17">
        <v>10.33</v>
      </c>
    </row>
    <row r="18" spans="1:7">
      <c r="A18" t="s">
        <v>167</v>
      </c>
      <c r="C18" t="s">
        <v>168</v>
      </c>
      <c r="D18" s="11">
        <v>1</v>
      </c>
    </row>
    <row r="19" spans="1:7">
      <c r="C19" s="12" t="s">
        <v>169</v>
      </c>
      <c r="D19" s="11">
        <v>0.5</v>
      </c>
      <c r="E19" s="30" t="s">
        <v>170</v>
      </c>
      <c r="F19" s="30"/>
      <c r="G19" s="30"/>
    </row>
    <row r="20" spans="1:7">
      <c r="D20" t="s">
        <v>173</v>
      </c>
      <c r="E20" s="30"/>
      <c r="F20" s="30"/>
      <c r="G20" s="30"/>
    </row>
    <row r="21" spans="1:7">
      <c r="A21" t="s">
        <v>175</v>
      </c>
      <c r="D21" s="11">
        <v>1.1000000000000001</v>
      </c>
    </row>
    <row r="22" spans="1:7">
      <c r="A22" t="s">
        <v>176</v>
      </c>
      <c r="D22" s="11">
        <v>1.1000000000000001</v>
      </c>
      <c r="E22" t="s">
        <v>177</v>
      </c>
    </row>
  </sheetData>
  <mergeCells count="3">
    <mergeCell ref="E9:G10"/>
    <mergeCell ref="E14:G15"/>
    <mergeCell ref="E19:G20"/>
  </mergeCells>
  <pageMargins left="0.7" right="0.7" top="0.75" bottom="0.75" header="0.3" footer="0.3"/>
  <pageSetup paperSize="9" orientation="portrait" r:id="rId1"/>
  <headerFooter>
    <oddFooter>&amp;L&amp;1#&amp;"Calibri"&amp;10&amp;K000000IN-CONFIDENCE:RELEASE EXTERNAL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B030-1B84-494E-B321-CE954F919510}">
  <dimension ref="A1:P22"/>
  <sheetViews>
    <sheetView workbookViewId="0">
      <selection activeCell="D5" sqref="D5"/>
    </sheetView>
  </sheetViews>
  <sheetFormatPr defaultRowHeight="14.45"/>
  <sheetData>
    <row r="1" spans="1:16">
      <c r="A1" s="3" t="s">
        <v>160</v>
      </c>
      <c r="G1" t="s">
        <v>178</v>
      </c>
      <c r="J1" s="3" t="s">
        <v>160</v>
      </c>
      <c r="P1" t="s">
        <v>179</v>
      </c>
    </row>
    <row r="2" spans="1:16">
      <c r="A2" t="s">
        <v>161</v>
      </c>
      <c r="B2" s="8">
        <v>12.13</v>
      </c>
      <c r="C2">
        <v>12.14</v>
      </c>
      <c r="D2">
        <v>12.15</v>
      </c>
      <c r="E2">
        <v>12.16</v>
      </c>
      <c r="G2" t="s">
        <v>162</v>
      </c>
      <c r="J2" t="s">
        <v>161</v>
      </c>
      <c r="K2" s="8">
        <v>12.38</v>
      </c>
      <c r="L2">
        <v>12.39</v>
      </c>
      <c r="M2">
        <v>12.4</v>
      </c>
      <c r="N2">
        <v>12.41</v>
      </c>
      <c r="P2" t="s">
        <v>162</v>
      </c>
    </row>
    <row r="3" spans="1:16">
      <c r="A3" t="s">
        <v>163</v>
      </c>
      <c r="B3" s="10">
        <v>17.100000000000001</v>
      </c>
      <c r="J3" t="s">
        <v>163</v>
      </c>
      <c r="K3" s="10">
        <v>17.100000000000001</v>
      </c>
    </row>
    <row r="4" spans="1:16">
      <c r="A4" t="s">
        <v>164</v>
      </c>
      <c r="B4">
        <v>17.100999999999999</v>
      </c>
      <c r="J4" t="s">
        <v>164</v>
      </c>
      <c r="K4">
        <v>17.100999999999999</v>
      </c>
    </row>
    <row r="6" spans="1:16">
      <c r="A6" s="3" t="s">
        <v>165</v>
      </c>
      <c r="J6" s="3" t="s">
        <v>165</v>
      </c>
    </row>
    <row r="7" spans="1:16">
      <c r="A7" t="s">
        <v>166</v>
      </c>
      <c r="G7">
        <v>12.14</v>
      </c>
      <c r="J7" t="s">
        <v>166</v>
      </c>
      <c r="P7">
        <v>12.39</v>
      </c>
    </row>
    <row r="8" spans="1:16">
      <c r="A8" t="s">
        <v>167</v>
      </c>
      <c r="C8" t="s">
        <v>168</v>
      </c>
      <c r="D8" s="11">
        <v>0.5</v>
      </c>
      <c r="J8" t="s">
        <v>167</v>
      </c>
      <c r="L8" t="s">
        <v>168</v>
      </c>
      <c r="M8" s="11">
        <v>0.5</v>
      </c>
    </row>
    <row r="9" spans="1:16">
      <c r="C9" s="12" t="s">
        <v>169</v>
      </c>
      <c r="D9" s="11">
        <v>0.25</v>
      </c>
      <c r="E9" s="30" t="s">
        <v>170</v>
      </c>
      <c r="F9" s="30"/>
      <c r="G9" s="30"/>
      <c r="L9" s="12" t="s">
        <v>169</v>
      </c>
      <c r="M9" s="11">
        <v>0.25</v>
      </c>
      <c r="N9" s="30" t="s">
        <v>170</v>
      </c>
      <c r="O9" s="30"/>
      <c r="P9" s="30"/>
    </row>
    <row r="10" spans="1:16">
      <c r="D10" t="s">
        <v>171</v>
      </c>
      <c r="E10" s="30"/>
      <c r="F10" s="30"/>
      <c r="G10" s="30"/>
      <c r="M10" t="s">
        <v>171</v>
      </c>
      <c r="N10" s="30"/>
      <c r="O10" s="30"/>
      <c r="P10" s="30"/>
    </row>
    <row r="12" spans="1:16">
      <c r="A12" t="s">
        <v>172</v>
      </c>
      <c r="G12">
        <v>12.15</v>
      </c>
      <c r="J12" t="s">
        <v>172</v>
      </c>
      <c r="P12">
        <v>12.4</v>
      </c>
    </row>
    <row r="13" spans="1:16">
      <c r="A13" t="s">
        <v>167</v>
      </c>
      <c r="C13" t="s">
        <v>168</v>
      </c>
      <c r="D13" s="11">
        <v>1</v>
      </c>
      <c r="J13" t="s">
        <v>167</v>
      </c>
      <c r="L13" t="s">
        <v>168</v>
      </c>
      <c r="M13" s="11">
        <v>1</v>
      </c>
    </row>
    <row r="14" spans="1:16">
      <c r="C14" s="12" t="s">
        <v>169</v>
      </c>
      <c r="D14" s="11">
        <v>0.5</v>
      </c>
      <c r="E14" s="30" t="s">
        <v>170</v>
      </c>
      <c r="F14" s="30"/>
      <c r="G14" s="30"/>
      <c r="L14" s="12" t="s">
        <v>169</v>
      </c>
      <c r="M14" s="11">
        <v>0.5</v>
      </c>
      <c r="N14" s="30" t="s">
        <v>170</v>
      </c>
      <c r="O14" s="30"/>
      <c r="P14" s="30"/>
    </row>
    <row r="15" spans="1:16">
      <c r="D15" t="s">
        <v>173</v>
      </c>
      <c r="E15" s="30"/>
      <c r="F15" s="30"/>
      <c r="G15" s="30"/>
      <c r="M15" t="s">
        <v>173</v>
      </c>
      <c r="N15" s="30"/>
      <c r="O15" s="30"/>
      <c r="P15" s="30"/>
    </row>
    <row r="17" spans="1:16">
      <c r="A17" t="s">
        <v>174</v>
      </c>
      <c r="G17">
        <v>12.16</v>
      </c>
      <c r="J17" t="s">
        <v>174</v>
      </c>
      <c r="P17">
        <v>12.41</v>
      </c>
    </row>
    <row r="18" spans="1:16">
      <c r="A18" t="s">
        <v>167</v>
      </c>
      <c r="C18" t="s">
        <v>168</v>
      </c>
      <c r="D18" s="11">
        <v>1</v>
      </c>
      <c r="J18" t="s">
        <v>167</v>
      </c>
      <c r="L18" t="s">
        <v>168</v>
      </c>
      <c r="M18" s="11">
        <v>1</v>
      </c>
    </row>
    <row r="19" spans="1:16">
      <c r="C19" s="12" t="s">
        <v>169</v>
      </c>
      <c r="D19" s="11">
        <v>0.5</v>
      </c>
      <c r="E19" s="30" t="s">
        <v>170</v>
      </c>
      <c r="F19" s="30"/>
      <c r="G19" s="30"/>
      <c r="L19" s="12" t="s">
        <v>169</v>
      </c>
      <c r="M19" s="11">
        <v>0.5</v>
      </c>
      <c r="N19" s="30" t="s">
        <v>170</v>
      </c>
      <c r="O19" s="30"/>
      <c r="P19" s="30"/>
    </row>
    <row r="20" spans="1:16">
      <c r="D20" t="s">
        <v>173</v>
      </c>
      <c r="E20" s="30"/>
      <c r="F20" s="30"/>
      <c r="G20" s="30"/>
      <c r="M20" t="s">
        <v>173</v>
      </c>
      <c r="N20" s="30"/>
      <c r="O20" s="30"/>
      <c r="P20" s="30"/>
    </row>
    <row r="21" spans="1:16">
      <c r="A21" t="s">
        <v>175</v>
      </c>
      <c r="D21" s="11">
        <v>1.1000000000000001</v>
      </c>
      <c r="J21" t="s">
        <v>175</v>
      </c>
      <c r="M21" s="11">
        <v>1.1000000000000001</v>
      </c>
    </row>
    <row r="22" spans="1:16">
      <c r="D22" s="11"/>
      <c r="J22" t="s">
        <v>176</v>
      </c>
      <c r="M22" s="11">
        <v>1.1000000000000001</v>
      </c>
      <c r="N22" t="s">
        <v>177</v>
      </c>
    </row>
  </sheetData>
  <mergeCells count="6">
    <mergeCell ref="E9:G10"/>
    <mergeCell ref="E14:G15"/>
    <mergeCell ref="E19:G20"/>
    <mergeCell ref="N9:P10"/>
    <mergeCell ref="N14:P15"/>
    <mergeCell ref="N19:P20"/>
  </mergeCells>
  <pageMargins left="0.7" right="0.7" top="0.75" bottom="0.75" header="0.3" footer="0.3"/>
  <pageSetup paperSize="9" orientation="portrait" r:id="rId1"/>
  <headerFooter>
    <oddFooter>&amp;L&amp;1#&amp;"Calibri"&amp;10&amp;K000000IN-CONFIDENCE:RELEASE EXTERNAL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51FA1-8F15-4A7D-9FE5-1122013C8E0A}">
  <dimension ref="A1:Q24"/>
  <sheetViews>
    <sheetView workbookViewId="0">
      <selection activeCell="H21" sqref="H21"/>
    </sheetView>
  </sheetViews>
  <sheetFormatPr defaultRowHeight="14.45"/>
  <sheetData>
    <row r="1" spans="1:17">
      <c r="A1" s="3" t="s">
        <v>160</v>
      </c>
    </row>
    <row r="2" spans="1:17">
      <c r="A2" t="s">
        <v>161</v>
      </c>
      <c r="B2" s="8">
        <v>13.3</v>
      </c>
      <c r="C2">
        <v>13.31</v>
      </c>
      <c r="D2">
        <v>13.32</v>
      </c>
      <c r="E2">
        <v>13.33</v>
      </c>
      <c r="G2" t="s">
        <v>162</v>
      </c>
    </row>
    <row r="3" spans="1:17">
      <c r="A3" t="s">
        <v>163</v>
      </c>
      <c r="B3" s="10">
        <v>17.100000000000001</v>
      </c>
    </row>
    <row r="4" spans="1:17">
      <c r="A4" t="s">
        <v>164</v>
      </c>
      <c r="B4">
        <v>17.100999999999999</v>
      </c>
    </row>
    <row r="6" spans="1:17">
      <c r="A6" s="3" t="s">
        <v>165</v>
      </c>
      <c r="I6" s="3" t="s">
        <v>180</v>
      </c>
    </row>
    <row r="7" spans="1:17">
      <c r="A7" t="s">
        <v>166</v>
      </c>
      <c r="G7">
        <v>13.31</v>
      </c>
      <c r="I7" t="s">
        <v>166</v>
      </c>
      <c r="O7">
        <v>13.31</v>
      </c>
    </row>
    <row r="8" spans="1:17">
      <c r="A8" t="s">
        <v>167</v>
      </c>
      <c r="C8" t="s">
        <v>168</v>
      </c>
      <c r="D8" s="11">
        <v>0.5</v>
      </c>
      <c r="I8" t="s">
        <v>167</v>
      </c>
      <c r="K8" t="s">
        <v>153</v>
      </c>
      <c r="L8" s="11">
        <v>0.25</v>
      </c>
    </row>
    <row r="9" spans="1:17">
      <c r="C9" s="12" t="s">
        <v>169</v>
      </c>
      <c r="D9" s="11">
        <v>0.25</v>
      </c>
      <c r="E9" s="30" t="s">
        <v>170</v>
      </c>
      <c r="F9" s="30"/>
      <c r="G9" s="30"/>
      <c r="K9" s="12" t="s">
        <v>154</v>
      </c>
      <c r="L9" s="11">
        <v>0.05</v>
      </c>
      <c r="M9" s="30" t="s">
        <v>170</v>
      </c>
      <c r="N9" s="30"/>
      <c r="O9" s="30"/>
    </row>
    <row r="10" spans="1:17">
      <c r="D10" t="s">
        <v>171</v>
      </c>
      <c r="E10" s="30"/>
      <c r="F10" s="30"/>
      <c r="G10" s="30"/>
      <c r="L10" t="s">
        <v>173</v>
      </c>
      <c r="M10" s="30"/>
      <c r="N10" s="30"/>
      <c r="O10" s="30"/>
    </row>
    <row r="12" spans="1:17">
      <c r="A12" t="s">
        <v>172</v>
      </c>
      <c r="G12">
        <v>13.32</v>
      </c>
      <c r="I12" t="s">
        <v>172</v>
      </c>
      <c r="O12">
        <v>13.32</v>
      </c>
    </row>
    <row r="13" spans="1:17">
      <c r="A13" t="s">
        <v>167</v>
      </c>
      <c r="C13" t="s">
        <v>168</v>
      </c>
      <c r="D13" s="11">
        <v>1</v>
      </c>
      <c r="I13" t="s">
        <v>167</v>
      </c>
      <c r="K13" t="s">
        <v>153</v>
      </c>
      <c r="L13" s="11">
        <v>0.25</v>
      </c>
      <c r="O13" s="30" t="s">
        <v>170</v>
      </c>
      <c r="P13" s="30"/>
      <c r="Q13" s="30"/>
    </row>
    <row r="14" spans="1:17">
      <c r="C14" s="12" t="s">
        <v>169</v>
      </c>
      <c r="D14" s="11">
        <v>0.5</v>
      </c>
      <c r="E14" s="30" t="s">
        <v>170</v>
      </c>
      <c r="F14" s="30"/>
      <c r="G14" s="30"/>
      <c r="L14" s="11">
        <v>1.1000000000000001</v>
      </c>
      <c r="M14" t="s">
        <v>181</v>
      </c>
      <c r="O14" s="30"/>
      <c r="P14" s="30"/>
      <c r="Q14" s="30"/>
    </row>
    <row r="15" spans="1:17">
      <c r="D15" t="s">
        <v>173</v>
      </c>
      <c r="E15" s="30"/>
      <c r="F15" s="30"/>
      <c r="G15" s="30"/>
      <c r="K15" s="12" t="s">
        <v>154</v>
      </c>
      <c r="L15" s="11">
        <v>0.05</v>
      </c>
      <c r="M15" s="30" t="s">
        <v>170</v>
      </c>
      <c r="N15" s="30"/>
      <c r="O15" s="30"/>
    </row>
    <row r="16" spans="1:17">
      <c r="L16" t="s">
        <v>173</v>
      </c>
      <c r="M16" s="30"/>
      <c r="N16" s="30"/>
      <c r="O16" s="30"/>
    </row>
    <row r="17" spans="1:17">
      <c r="A17" t="s">
        <v>174</v>
      </c>
      <c r="G17">
        <v>13.33</v>
      </c>
    </row>
    <row r="18" spans="1:17">
      <c r="A18" t="s">
        <v>167</v>
      </c>
      <c r="C18" t="s">
        <v>168</v>
      </c>
      <c r="D18" s="11">
        <v>1</v>
      </c>
      <c r="I18" t="s">
        <v>174</v>
      </c>
      <c r="O18">
        <v>13.33</v>
      </c>
    </row>
    <row r="19" spans="1:17">
      <c r="C19" s="12" t="s">
        <v>169</v>
      </c>
      <c r="D19" s="11">
        <v>0.5</v>
      </c>
      <c r="E19" s="30" t="s">
        <v>170</v>
      </c>
      <c r="F19" s="30"/>
      <c r="G19" s="30"/>
      <c r="I19" t="s">
        <v>167</v>
      </c>
      <c r="K19" t="s">
        <v>153</v>
      </c>
      <c r="L19" s="11">
        <v>0.25</v>
      </c>
      <c r="O19" s="30" t="s">
        <v>170</v>
      </c>
      <c r="P19" s="30"/>
      <c r="Q19" s="30"/>
    </row>
    <row r="20" spans="1:17">
      <c r="D20" t="s">
        <v>173</v>
      </c>
      <c r="E20" s="30"/>
      <c r="F20" s="30"/>
      <c r="G20" s="30"/>
      <c r="L20" s="11">
        <v>1.1000000000000001</v>
      </c>
      <c r="M20" t="s">
        <v>181</v>
      </c>
      <c r="O20" s="30"/>
      <c r="P20" s="30"/>
      <c r="Q20" s="30"/>
    </row>
    <row r="21" spans="1:17">
      <c r="A21" t="s">
        <v>175</v>
      </c>
      <c r="D21" s="11">
        <v>1.1000000000000001</v>
      </c>
      <c r="K21" s="12" t="s">
        <v>154</v>
      </c>
      <c r="L21" s="11">
        <v>0.05</v>
      </c>
      <c r="M21" s="30" t="s">
        <v>170</v>
      </c>
      <c r="N21" s="30"/>
      <c r="O21" s="30"/>
    </row>
    <row r="22" spans="1:17">
      <c r="A22" t="s">
        <v>176</v>
      </c>
      <c r="D22" s="11">
        <v>1.1000000000000001</v>
      </c>
      <c r="E22" t="s">
        <v>177</v>
      </c>
      <c r="L22" t="s">
        <v>173</v>
      </c>
      <c r="M22" s="30"/>
      <c r="N22" s="30"/>
      <c r="O22" s="30"/>
    </row>
    <row r="23" spans="1:17">
      <c r="I23" t="s">
        <v>175</v>
      </c>
      <c r="L23" s="11">
        <v>1.1000000000000001</v>
      </c>
    </row>
    <row r="24" spans="1:17">
      <c r="I24" t="s">
        <v>176</v>
      </c>
      <c r="L24" s="11">
        <v>1.1000000000000001</v>
      </c>
      <c r="M24" t="s">
        <v>177</v>
      </c>
    </row>
  </sheetData>
  <mergeCells count="8">
    <mergeCell ref="M21:O22"/>
    <mergeCell ref="O13:Q14"/>
    <mergeCell ref="O19:Q20"/>
    <mergeCell ref="E9:G10"/>
    <mergeCell ref="E14:G15"/>
    <mergeCell ref="E19:G20"/>
    <mergeCell ref="M9:O10"/>
    <mergeCell ref="M15:O16"/>
  </mergeCells>
  <pageMargins left="0.7" right="0.7" top="0.75" bottom="0.75" header="0.3" footer="0.3"/>
  <pageSetup paperSize="9" orientation="portrait" r:id="rId1"/>
  <headerFooter>
    <oddFooter>&amp;L&amp;1#&amp;"Calibri"&amp;10&amp;K000000IN-CONFIDENCE:RELEASE EXTERNAL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B63E-0412-40D9-8A39-B86055B51A99}">
  <dimension ref="A1:Q24"/>
  <sheetViews>
    <sheetView workbookViewId="0">
      <selection activeCell="E5" sqref="E5"/>
    </sheetView>
  </sheetViews>
  <sheetFormatPr defaultRowHeight="14.45"/>
  <sheetData>
    <row r="1" spans="1:17">
      <c r="A1" s="3" t="s">
        <v>160</v>
      </c>
      <c r="G1" t="s">
        <v>182</v>
      </c>
    </row>
    <row r="2" spans="1:17">
      <c r="A2" t="s">
        <v>161</v>
      </c>
      <c r="B2" s="8">
        <v>13.3</v>
      </c>
      <c r="C2">
        <v>13.31</v>
      </c>
      <c r="D2">
        <v>13.32</v>
      </c>
      <c r="E2">
        <v>13.33</v>
      </c>
      <c r="G2" t="s">
        <v>162</v>
      </c>
    </row>
    <row r="3" spans="1:17">
      <c r="A3" t="s">
        <v>163</v>
      </c>
      <c r="B3" s="10">
        <v>17.100000000000001</v>
      </c>
    </row>
    <row r="4" spans="1:17">
      <c r="A4" t="s">
        <v>164</v>
      </c>
      <c r="B4">
        <v>17.100999999999999</v>
      </c>
    </row>
    <row r="6" spans="1:17">
      <c r="A6" s="3" t="s">
        <v>165</v>
      </c>
      <c r="I6" s="3" t="s">
        <v>180</v>
      </c>
    </row>
    <row r="7" spans="1:17">
      <c r="A7" t="s">
        <v>166</v>
      </c>
      <c r="G7">
        <v>13.31</v>
      </c>
      <c r="I7" t="s">
        <v>166</v>
      </c>
      <c r="O7">
        <v>13.31</v>
      </c>
    </row>
    <row r="8" spans="1:17">
      <c r="A8" t="s">
        <v>167</v>
      </c>
      <c r="C8" t="s">
        <v>168</v>
      </c>
      <c r="D8" s="11">
        <v>0.5</v>
      </c>
      <c r="I8" t="s">
        <v>167</v>
      </c>
      <c r="K8" t="s">
        <v>153</v>
      </c>
      <c r="L8" s="11">
        <v>0.25</v>
      </c>
    </row>
    <row r="9" spans="1:17">
      <c r="C9" s="12" t="s">
        <v>169</v>
      </c>
      <c r="D9" s="11">
        <v>0.25</v>
      </c>
      <c r="E9" s="30" t="s">
        <v>170</v>
      </c>
      <c r="F9" s="30"/>
      <c r="G9" s="30"/>
      <c r="K9" s="12" t="s">
        <v>154</v>
      </c>
      <c r="L9" s="11">
        <v>0.05</v>
      </c>
      <c r="M9" s="30" t="s">
        <v>170</v>
      </c>
      <c r="N9" s="30"/>
      <c r="O9" s="30"/>
    </row>
    <row r="10" spans="1:17">
      <c r="D10" t="s">
        <v>171</v>
      </c>
      <c r="E10" s="30"/>
      <c r="F10" s="30"/>
      <c r="G10" s="30"/>
      <c r="L10" t="s">
        <v>173</v>
      </c>
      <c r="M10" s="30"/>
      <c r="N10" s="30"/>
      <c r="O10" s="30"/>
    </row>
    <row r="12" spans="1:17">
      <c r="A12" t="s">
        <v>172</v>
      </c>
      <c r="G12">
        <v>13.32</v>
      </c>
      <c r="I12" t="s">
        <v>172</v>
      </c>
      <c r="O12">
        <v>13.32</v>
      </c>
    </row>
    <row r="13" spans="1:17">
      <c r="A13" t="s">
        <v>167</v>
      </c>
      <c r="C13" t="s">
        <v>168</v>
      </c>
      <c r="D13" s="11">
        <v>1</v>
      </c>
      <c r="I13" t="s">
        <v>167</v>
      </c>
      <c r="K13" t="s">
        <v>153</v>
      </c>
      <c r="L13" s="11">
        <v>0.25</v>
      </c>
      <c r="O13" s="30" t="s">
        <v>170</v>
      </c>
      <c r="P13" s="30"/>
      <c r="Q13" s="30"/>
    </row>
    <row r="14" spans="1:17">
      <c r="C14" s="12" t="s">
        <v>169</v>
      </c>
      <c r="D14" s="11">
        <v>0.5</v>
      </c>
      <c r="E14" s="30" t="s">
        <v>170</v>
      </c>
      <c r="F14" s="30"/>
      <c r="G14" s="30"/>
      <c r="L14" s="11">
        <v>1.1000000000000001</v>
      </c>
      <c r="M14" t="s">
        <v>181</v>
      </c>
      <c r="O14" s="30"/>
      <c r="P14" s="30"/>
      <c r="Q14" s="30"/>
    </row>
    <row r="15" spans="1:17">
      <c r="D15" t="s">
        <v>173</v>
      </c>
      <c r="E15" s="30"/>
      <c r="F15" s="30"/>
      <c r="G15" s="30"/>
      <c r="K15" s="12" t="s">
        <v>154</v>
      </c>
      <c r="L15" s="11">
        <v>0.05</v>
      </c>
      <c r="M15" s="30" t="s">
        <v>170</v>
      </c>
      <c r="N15" s="30"/>
      <c r="O15" s="30"/>
    </row>
    <row r="16" spans="1:17">
      <c r="L16" t="s">
        <v>173</v>
      </c>
      <c r="M16" s="30"/>
      <c r="N16" s="30"/>
      <c r="O16" s="30"/>
    </row>
    <row r="17" spans="1:17">
      <c r="A17" t="s">
        <v>174</v>
      </c>
      <c r="G17">
        <v>13.33</v>
      </c>
    </row>
    <row r="18" spans="1:17">
      <c r="A18" t="s">
        <v>167</v>
      </c>
      <c r="C18" t="s">
        <v>168</v>
      </c>
      <c r="D18" s="11">
        <v>1</v>
      </c>
      <c r="I18" t="s">
        <v>174</v>
      </c>
      <c r="O18">
        <v>13.33</v>
      </c>
    </row>
    <row r="19" spans="1:17">
      <c r="C19" s="12" t="s">
        <v>169</v>
      </c>
      <c r="D19" s="11">
        <v>0.5</v>
      </c>
      <c r="E19" s="30" t="s">
        <v>170</v>
      </c>
      <c r="F19" s="30"/>
      <c r="G19" s="30"/>
      <c r="I19" t="s">
        <v>167</v>
      </c>
      <c r="K19" t="s">
        <v>153</v>
      </c>
      <c r="L19" s="11">
        <v>0.25</v>
      </c>
      <c r="O19" s="30" t="s">
        <v>170</v>
      </c>
      <c r="P19" s="30"/>
      <c r="Q19" s="30"/>
    </row>
    <row r="20" spans="1:17">
      <c r="D20" t="s">
        <v>173</v>
      </c>
      <c r="E20" s="30"/>
      <c r="F20" s="30"/>
      <c r="G20" s="30"/>
      <c r="L20" s="11">
        <v>1.1000000000000001</v>
      </c>
      <c r="M20" t="s">
        <v>181</v>
      </c>
      <c r="O20" s="30"/>
      <c r="P20" s="30"/>
      <c r="Q20" s="30"/>
    </row>
    <row r="21" spans="1:17">
      <c r="A21" t="s">
        <v>175</v>
      </c>
      <c r="D21" s="11">
        <v>1.1000000000000001</v>
      </c>
      <c r="K21" s="12" t="s">
        <v>154</v>
      </c>
      <c r="L21" s="11">
        <v>0.05</v>
      </c>
      <c r="M21" s="30" t="s">
        <v>170</v>
      </c>
      <c r="N21" s="30"/>
      <c r="O21" s="30"/>
    </row>
    <row r="22" spans="1:17">
      <c r="A22" t="s">
        <v>176</v>
      </c>
      <c r="D22" s="11">
        <v>1.1000000000000001</v>
      </c>
      <c r="E22" t="s">
        <v>177</v>
      </c>
      <c r="L22" t="s">
        <v>173</v>
      </c>
      <c r="M22" s="30"/>
      <c r="N22" s="30"/>
      <c r="O22" s="30"/>
    </row>
    <row r="23" spans="1:17">
      <c r="I23" t="s">
        <v>175</v>
      </c>
      <c r="L23" s="11">
        <v>1.1000000000000001</v>
      </c>
    </row>
    <row r="24" spans="1:17">
      <c r="I24" t="s">
        <v>176</v>
      </c>
      <c r="L24" s="11">
        <v>1.1000000000000001</v>
      </c>
      <c r="M24" t="s">
        <v>177</v>
      </c>
    </row>
  </sheetData>
  <mergeCells count="8">
    <mergeCell ref="M21:O22"/>
    <mergeCell ref="E9:G10"/>
    <mergeCell ref="M9:O10"/>
    <mergeCell ref="O13:Q14"/>
    <mergeCell ref="E14:G15"/>
    <mergeCell ref="M15:O16"/>
    <mergeCell ref="E19:G20"/>
    <mergeCell ref="O19:Q20"/>
  </mergeCells>
  <pageMargins left="0.7" right="0.7" top="0.75" bottom="0.75" header="0.3" footer="0.3"/>
  <pageSetup paperSize="9" orientation="portrait" r:id="rId1"/>
  <headerFooter>
    <oddFooter>&amp;L&amp;1#&amp;"Calibri"&amp;10&amp;K000000IN-CONFIDENCE:RELEASE EXTERNAL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FB336-8468-4E83-8E2C-843E4C14C2AF}">
  <dimension ref="A1:F17"/>
  <sheetViews>
    <sheetView workbookViewId="0">
      <selection activeCell="B8" sqref="B8"/>
    </sheetView>
  </sheetViews>
  <sheetFormatPr defaultRowHeight="14.45"/>
  <sheetData>
    <row r="1" spans="1:6">
      <c r="A1" s="3" t="s">
        <v>160</v>
      </c>
    </row>
    <row r="2" spans="1:6">
      <c r="A2" t="s">
        <v>183</v>
      </c>
      <c r="B2" s="8">
        <v>17.989999999999998</v>
      </c>
      <c r="D2" t="s">
        <v>184</v>
      </c>
    </row>
    <row r="3" spans="1:6">
      <c r="A3" t="s">
        <v>163</v>
      </c>
      <c r="B3" s="10">
        <v>17.100000000000001</v>
      </c>
    </row>
    <row r="4" spans="1:6">
      <c r="A4" t="s">
        <v>164</v>
      </c>
      <c r="B4">
        <v>17.100999999999999</v>
      </c>
    </row>
    <row r="6" spans="1:6">
      <c r="A6" s="3" t="s">
        <v>185</v>
      </c>
      <c r="E6" s="10">
        <v>17.100999999999999</v>
      </c>
    </row>
    <row r="7" spans="1:6">
      <c r="A7" t="s">
        <v>186</v>
      </c>
      <c r="E7" s="11">
        <v>1</v>
      </c>
      <c r="F7" t="s">
        <v>187</v>
      </c>
    </row>
    <row r="9" spans="1:6">
      <c r="A9" s="3" t="s">
        <v>188</v>
      </c>
      <c r="E9" s="10">
        <v>17.100000000000001</v>
      </c>
    </row>
    <row r="10" spans="1:6">
      <c r="A10" t="s">
        <v>189</v>
      </c>
      <c r="E10" s="11">
        <v>1.1000000000000001</v>
      </c>
      <c r="F10" t="s">
        <v>181</v>
      </c>
    </row>
    <row r="12" spans="1:6">
      <c r="A12" t="s">
        <v>190</v>
      </c>
    </row>
    <row r="13" spans="1:6">
      <c r="A13" t="s">
        <v>191</v>
      </c>
      <c r="E13" t="s">
        <v>192</v>
      </c>
    </row>
    <row r="15" spans="1:6">
      <c r="A15" t="s">
        <v>193</v>
      </c>
      <c r="E15">
        <v>17.102</v>
      </c>
    </row>
    <row r="16" spans="1:6">
      <c r="A16" t="s">
        <v>194</v>
      </c>
    </row>
    <row r="17" spans="1:1">
      <c r="A17" t="s">
        <v>195</v>
      </c>
    </row>
  </sheetData>
  <pageMargins left="0.7" right="0.7" top="0.75" bottom="0.75" header="0.3" footer="0.3"/>
  <pageSetup paperSize="9" orientation="portrait" r:id="rId1"/>
  <headerFooter>
    <oddFooter>&amp;L&amp;1#&amp;"Calibri"&amp;10&amp;K000000IN-CONFIDENCE:RELEASE EXTERNAL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8567302-e66f-4b8d-854a-7529efaf450a">WORK-83258987-164</_dlc_DocId>
    <_dlc_DocIdUrl xmlns="28567302-e66f-4b8d-854a-7529efaf450a">
      <Url>https://worksafenz.sharepoint.com/sites/BusSol-Comms-DEV/_layouts/15/DocIdRedir.aspx?ID=WORK-83258987-164</Url>
      <Description>WORK-83258987-164</Description>
    </_dlc_DocIdUrl>
    <TaxCatchAll xmlns="28567302-e66f-4b8d-854a-7529efaf450a" xsi:nil="true"/>
    <lcf76f155ced4ddcb4097134ff3c332f xmlns="5aa70786-cd8b-42a4-91ae-1e1c75e49b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4FF3E8D4D0C5449355384210064A5E" ma:contentTypeVersion="10" ma:contentTypeDescription="Create a new document." ma:contentTypeScope="" ma:versionID="a570ca4715a79cb980a998ac3db6bb20">
  <xsd:schema xmlns:xsd="http://www.w3.org/2001/XMLSchema" xmlns:xs="http://www.w3.org/2001/XMLSchema" xmlns:p="http://schemas.microsoft.com/office/2006/metadata/properties" xmlns:ns2="28567302-e66f-4b8d-854a-7529efaf450a" xmlns:ns3="5aa70786-cd8b-42a4-91ae-1e1c75e49b61" targetNamespace="http://schemas.microsoft.com/office/2006/metadata/properties" ma:root="true" ma:fieldsID="02d28981987330cfa6c421b2cce05c02" ns2:_="" ns3:_="">
    <xsd:import namespace="28567302-e66f-4b8d-854a-7529efaf450a"/>
    <xsd:import namespace="5aa70786-cd8b-42a4-91ae-1e1c75e49b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67302-e66f-4b8d-854a-7529efaf45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3bc4278f-7baa-4b78-9909-3618f85724fb}" ma:internalName="TaxCatchAll" ma:showField="CatchAllData" ma:web="28567302-e66f-4b8d-854a-7529efaf4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a70786-cd8b-42a4-91ae-1e1c75e49b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612817-CCA8-4594-8009-4B3FFB0E0B45}"/>
</file>

<file path=customXml/itemProps2.xml><?xml version="1.0" encoding="utf-8"?>
<ds:datastoreItem xmlns:ds="http://schemas.openxmlformats.org/officeDocument/2006/customXml" ds:itemID="{25692405-7FBA-403E-8782-FD37ACA83DB1}"/>
</file>

<file path=customXml/itemProps3.xml><?xml version="1.0" encoding="utf-8"?>
<ds:datastoreItem xmlns:ds="http://schemas.openxmlformats.org/officeDocument/2006/customXml" ds:itemID="{4A0A07A3-10AD-4EF8-A62B-48DAB403C4C0}"/>
</file>

<file path=customXml/itemProps4.xml><?xml version="1.0" encoding="utf-8"?>
<ds:datastoreItem xmlns:ds="http://schemas.openxmlformats.org/officeDocument/2006/customXml" ds:itemID="{77F61494-9E1E-47CA-BAC9-03B957C9AE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 Hasenoehrl</dc:creator>
  <cp:keywords/>
  <dc:description/>
  <cp:lastModifiedBy/>
  <cp:revision/>
  <dcterms:created xsi:type="dcterms:W3CDTF">2015-06-05T18:17:20Z</dcterms:created>
  <dcterms:modified xsi:type="dcterms:W3CDTF">2023-07-26T03:38:49Z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a07885-9791-46ac-a880-c93004222d1f_Enabled">
    <vt:lpwstr>true</vt:lpwstr>
  </property>
  <property fmtid="{D5CDD505-2E9C-101B-9397-08002B2CF9AE}" pid="3" name="MSIP_Label_57a07885-9791-46ac-a880-c93004222d1f_SetDate">
    <vt:lpwstr>2023-04-02T22:38:12Z</vt:lpwstr>
  </property>
  <property fmtid="{D5CDD505-2E9C-101B-9397-08002B2CF9AE}" pid="4" name="MSIP_Label_57a07885-9791-46ac-a880-c93004222d1f_Method">
    <vt:lpwstr>Privileged</vt:lpwstr>
  </property>
  <property fmtid="{D5CDD505-2E9C-101B-9397-08002B2CF9AE}" pid="5" name="MSIP_Label_57a07885-9791-46ac-a880-c93004222d1f_Name">
    <vt:lpwstr>IN-CONFIDENCE RELEASE EXTERNAL</vt:lpwstr>
  </property>
  <property fmtid="{D5CDD505-2E9C-101B-9397-08002B2CF9AE}" pid="6" name="MSIP_Label_57a07885-9791-46ac-a880-c93004222d1f_SiteId">
    <vt:lpwstr>a8547185-c9ba-4557-bc1c-8481be4ecec6</vt:lpwstr>
  </property>
  <property fmtid="{D5CDD505-2E9C-101B-9397-08002B2CF9AE}" pid="7" name="MSIP_Label_57a07885-9791-46ac-a880-c93004222d1f_ActionId">
    <vt:lpwstr>16ce3a5e-a5fd-48db-b45a-daeb3bb3b257</vt:lpwstr>
  </property>
  <property fmtid="{D5CDD505-2E9C-101B-9397-08002B2CF9AE}" pid="8" name="MSIP_Label_57a07885-9791-46ac-a880-c93004222d1f_ContentBits">
    <vt:lpwstr>2</vt:lpwstr>
  </property>
  <property fmtid="{D5CDD505-2E9C-101B-9397-08002B2CF9AE}" pid="9" name="ContentTypeId">
    <vt:lpwstr>0x010100064FF3E8D4D0C5449355384210064A5E</vt:lpwstr>
  </property>
  <property fmtid="{D5CDD505-2E9C-101B-9397-08002B2CF9AE}" pid="10" name="_dlc_DocIdItemGuid">
    <vt:lpwstr>d1f6b343-1fbf-488e-9926-4628c790237a</vt:lpwstr>
  </property>
</Properties>
</file>