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worksafenz-my.sharepoint.com/personal/hayley_weel_worksafe_govt_nz/Documents/Desktop/"/>
    </mc:Choice>
  </mc:AlternateContent>
  <xr:revisionPtr revIDLastSave="0" documentId="8_{C8F1A4E4-4CF4-4DB0-870C-A285FD20CBE0}" xr6:coauthVersionLast="47" xr6:coauthVersionMax="47" xr10:uidLastSave="{00000000-0000-0000-0000-000000000000}"/>
  <bookViews>
    <workbookView xWindow="-28920" yWindow="-12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expenses'!$A$1:$F$38</definedName>
    <definedName name="_xlnm.Print_Area" localSheetId="5">'Gifts and benefits'!$A$1:$G$69</definedName>
    <definedName name="_xlnm.Print_Area" localSheetId="0">'Guidance for agencies'!$A$1:$A$58</definedName>
    <definedName name="_xlnm.Print_Area" localSheetId="3">Hospitality!$A$1:$F$39</definedName>
    <definedName name="_xlnm.Print_Area" localSheetId="1">'Summary and sign-off'!$A$1:$F$23</definedName>
    <definedName name="_xlnm.Print_Area" localSheetId="2">Travel!$A$1:$E$182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5" i="1" l="1"/>
  <c r="B151" i="1"/>
  <c r="B146" i="1"/>
  <c r="B138" i="1"/>
  <c r="B116" i="1"/>
  <c r="B106" i="1"/>
  <c r="B105" i="1"/>
  <c r="B102" i="1"/>
  <c r="B92" i="1"/>
  <c r="B128" i="1"/>
  <c r="B122" i="1"/>
  <c r="B113" i="1"/>
  <c r="B44" i="1"/>
  <c r="B45" i="1"/>
  <c r="B29" i="3"/>
  <c r="B28" i="3"/>
  <c r="B23" i="3" l="1"/>
  <c r="B22" i="3"/>
  <c r="B21" i="3"/>
  <c r="B115" i="1"/>
  <c r="B96" i="1"/>
  <c r="B94" i="1"/>
  <c r="B86" i="1"/>
  <c r="B85" i="1"/>
  <c r="B19" i="3" l="1"/>
  <c r="B18" i="3"/>
  <c r="B64" i="1"/>
  <c r="B53" i="1"/>
  <c r="B49" i="1"/>
  <c r="B63" i="1"/>
  <c r="B74" i="1"/>
  <c r="B57" i="1" l="1"/>
  <c r="B52" i="1"/>
  <c r="B81" i="1"/>
  <c r="B73" i="1"/>
  <c r="B69" i="1"/>
  <c r="B62" i="1"/>
  <c r="B60" i="1"/>
  <c r="B51" i="1"/>
  <c r="B48" i="1"/>
  <c r="B47" i="1" l="1"/>
  <c r="B41" i="1"/>
  <c r="B40" i="1"/>
  <c r="B39" i="1"/>
  <c r="B27" i="1"/>
  <c r="B38" i="1"/>
  <c r="B16" i="3"/>
  <c r="B12" i="3" l="1"/>
  <c r="B37" i="1" l="1"/>
  <c r="B36" i="1"/>
  <c r="B29" i="1"/>
  <c r="B30" i="1"/>
  <c r="D58" i="4" l="1"/>
  <c r="C32" i="3"/>
  <c r="C32" i="2"/>
  <c r="C157" i="1"/>
  <c r="C171" i="1"/>
  <c r="C22" i="1"/>
  <c r="B6" i="13" l="1"/>
  <c r="E60" i="13"/>
  <c r="C60" i="13"/>
  <c r="C60" i="4"/>
  <c r="C59" i="4"/>
  <c r="B60" i="13" l="1"/>
  <c r="B59" i="13"/>
  <c r="D59" i="13"/>
  <c r="B58" i="13"/>
  <c r="D58" i="13"/>
  <c r="D57" i="13"/>
  <c r="B57" i="13"/>
  <c r="D56" i="13"/>
  <c r="B56" i="13"/>
  <c r="D55" i="13"/>
  <c r="B55" i="13"/>
  <c r="B2" i="4"/>
  <c r="B3" i="4"/>
  <c r="B2" i="3"/>
  <c r="B3" i="3"/>
  <c r="B2" i="2"/>
  <c r="B3" i="2"/>
  <c r="B2" i="1"/>
  <c r="B3" i="1"/>
  <c r="F58" i="13" l="1"/>
  <c r="D32" i="2" s="1"/>
  <c r="F60" i="13"/>
  <c r="E58" i="4" s="1"/>
  <c r="F59" i="13"/>
  <c r="D32" i="3" s="1"/>
  <c r="F57" i="13"/>
  <c r="D171" i="1" s="1"/>
  <c r="F56" i="13"/>
  <c r="D157" i="1" s="1"/>
  <c r="F55" i="13"/>
  <c r="D22" i="1" s="1"/>
  <c r="C13" i="13"/>
  <c r="C12" i="13"/>
  <c r="C11" i="13"/>
  <c r="C16" i="13" l="1"/>
  <c r="C17" i="13"/>
  <c r="B5" i="4" l="1"/>
  <c r="B4" i="4"/>
  <c r="B5" i="3"/>
  <c r="B4" i="3"/>
  <c r="B5" i="2"/>
  <c r="B4" i="2"/>
  <c r="B5" i="1"/>
  <c r="B4" i="1"/>
  <c r="C15" i="13" l="1"/>
  <c r="F12" i="13" l="1"/>
  <c r="C58" i="4"/>
  <c r="F11" i="13" s="1"/>
  <c r="F13" i="13" l="1"/>
  <c r="B171" i="1"/>
  <c r="B17" i="13" s="1"/>
  <c r="B157" i="1"/>
  <c r="B16" i="13" s="1"/>
  <c r="B22" i="1"/>
  <c r="B15" i="13" s="1"/>
  <c r="B32" i="3" l="1"/>
  <c r="B13" i="13" s="1"/>
  <c r="B32" i="2"/>
  <c r="B12" i="13" s="1"/>
  <c r="B11" i="13" l="1"/>
  <c r="B1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6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<sst xmlns="http://schemas.openxmlformats.org/spreadsheetml/2006/main" count="730" uniqueCount="286">
  <si>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</si>
  <si>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</si>
  <si>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</si>
  <si>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</si>
  <si>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</si>
  <si>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</si>
  <si>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</si>
  <si>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</si>
  <si>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</si>
  <si>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</si>
  <si>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</si>
  <si>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</si>
  <si>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</si>
  <si>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</si>
  <si>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</si>
  <si>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</si>
  <si>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</si>
  <si>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</si>
  <si>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</si>
  <si>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</si>
  <si>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</si>
  <si>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</si>
  <si>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</si>
  <si>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</si>
  <si>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</si>
  <si>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</si>
  <si>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</si>
  <si>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</si>
  <si>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</si>
  <si>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</si>
  <si>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</si>
  <si>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</si>
  <si>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</si>
  <si>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</si>
  <si>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</si>
  <si>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</si>
  <si>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</si>
  <si>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</si>
  <si>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</si>
  <si>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</si>
  <si>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</si>
  <si>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</si>
  <si>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</si>
  <si>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</si>
  <si>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</si>
  <si>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</si>
  <si>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</si>
  <si>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</si>
  <si>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</si>
  <si>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</si>
  <si>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</si>
  <si>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</si>
  <si>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</si>
  <si>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</si>
  <si>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</si>
  <si>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</si>
  <si>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</si>
  <si>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</si>
  <si>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</si>
  <si>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</si>
  <si>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</si>
  <si>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</si>
  <si>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</si>
  <si>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</si>
  <si>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</si>
  <si>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</si>
  <si>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</si>
  <si>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</si>
  <si>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</si>
  <si>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</si>
  <si>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</si>
  <si>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</si>
  <si>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</si>
  <si>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</si>
  <si>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</si>
  <si>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</si>
  <si>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</si>
  <si>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</si>
  <si>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</si>
  <si>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</si>
  <si>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</si>
  <si>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</si>
  <si>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</si>
  <si>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</si>
  <si>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</si>
  <si>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</si>
  <si>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</si>
  <si>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</si>
  <si>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</si>
  <si>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</si>
  <si>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</si>
  <si>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</si>
  <si>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</si>
  <si>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</si>
  <si>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</si>
  <si>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</si>
  <si>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</si>
  <si>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</si>
  <si>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</si>
  <si>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</si>
  <si>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</si>
  <si>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</si>
  <si>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</si>
  <si>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</si>
  <si>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</si>
  <si>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</si>
  <si>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</si>
  <si>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</si>
  <si>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</si>
  <si>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</si>
  <si>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</si>
  <si>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</si>
  <si>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</si>
  <si>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</si>
  <si>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</si>
  <si>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</si>
  <si>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</si>
  <si>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</si>
  <si>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</si>
  <si>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</si>
  <si>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</si>
  <si>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</si>
  <si>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</si>
  <si>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</si>
  <si>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</si>
  <si>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</si>
  <si>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</si>
  <si>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</si>
  <si>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</si>
  <si>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</si>
  <si>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</si>
  <si>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</si>
  <si>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</si>
  <si>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</si>
  <si>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</si>
  <si>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</si>
  <si>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</si>
  <si>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</si>
  <si>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</si>
  <si>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</si>
  <si>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</si>
  <si>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</si>
  <si>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</si>
  <si>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</si>
  <si>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</si>
  <si>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</si>
  <si>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</si>
  <si>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</si>
  <si>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</si>
  <si>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</si>
  <si>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</si>
  <si>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</si>
  <si>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</si>
  <si>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</si>
  <si>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</si>
  <si>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</si>
  <si>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</si>
  <si>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</si>
  <si>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</si>
  <si>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</si>
  <si>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</si>
  <si>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</si>
  <si>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</si>
  <si>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</si>
  <si>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</si>
  <si>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</si>
  <si>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</si>
  <si>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</si>
  <si>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</si>
  <si>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WorkSafe New Zealand</t>
  </si>
  <si>
    <t>Phil Parkes</t>
  </si>
  <si>
    <t>Airfares</t>
  </si>
  <si>
    <t>Accommodation</t>
  </si>
  <si>
    <t>13-14 October 2020</t>
  </si>
  <si>
    <t>Booking Fee</t>
  </si>
  <si>
    <t>WLG/AKL/WLG</t>
  </si>
  <si>
    <t>WLG/AKL/TRG/WLG</t>
  </si>
  <si>
    <t>Phone and data costs</t>
  </si>
  <si>
    <t>Wellington</t>
  </si>
  <si>
    <t>Subscription</t>
  </si>
  <si>
    <t>Relationship Visit Auckland</t>
  </si>
  <si>
    <t>Meals</t>
  </si>
  <si>
    <t>Auckland</t>
  </si>
  <si>
    <t>Taxi</t>
  </si>
  <si>
    <t>Filming on Location</t>
  </si>
  <si>
    <t>14-17 September 2020</t>
  </si>
  <si>
    <t>Wellington/Auckland</t>
  </si>
  <si>
    <t>Couriers</t>
  </si>
  <si>
    <t>Office Visit</t>
  </si>
  <si>
    <t>Business Leaders Health and Safety Forum and Office Visit</t>
  </si>
  <si>
    <t>Board Relationship Training Day</t>
  </si>
  <si>
    <t>Media Training</t>
  </si>
  <si>
    <t>Professional Development</t>
  </si>
  <si>
    <t>Leadership Coaching</t>
  </si>
  <si>
    <t>WLG/AKL</t>
  </si>
  <si>
    <t>TRG/WLG</t>
  </si>
  <si>
    <t>WLG/CHC/WLG</t>
  </si>
  <si>
    <t>WLG/ROT/WLG</t>
  </si>
  <si>
    <t>2-3 November 2020</t>
  </si>
  <si>
    <t>Tauranga</t>
  </si>
  <si>
    <t>WLG/NPL/WLG</t>
  </si>
  <si>
    <t>Meal</t>
  </si>
  <si>
    <t>Christchurch</t>
  </si>
  <si>
    <t>Meeting with Stakeholder and Office Visit</t>
  </si>
  <si>
    <t>WorkSafe ELT Roadshow</t>
  </si>
  <si>
    <t>Attend Business Leaders Health and Safety Forum Meeting</t>
  </si>
  <si>
    <t>Meeting with Stakeholder and Speaking Engagement</t>
  </si>
  <si>
    <t>Attend Awards Dinner</t>
  </si>
  <si>
    <t>Speaking Engagement</t>
  </si>
  <si>
    <t>Operations Debrief</t>
  </si>
  <si>
    <t>Meal for 4 people</t>
  </si>
  <si>
    <t>Bottle of JK.14 Wine</t>
  </si>
  <si>
    <t>Anthony Harper Solicitors</t>
  </si>
  <si>
    <t>Notebook</t>
  </si>
  <si>
    <t>Intergen</t>
  </si>
  <si>
    <t>1 bottle of Wet Jacket, Pinot Noir</t>
  </si>
  <si>
    <t>Andree Kai Fong</t>
  </si>
  <si>
    <t>Wooden cricket set &amp; picnic blanket</t>
  </si>
  <si>
    <t>Spark New Zealand</t>
  </si>
  <si>
    <t>The Residents of Wellington book</t>
  </si>
  <si>
    <t>Amanda Millar</t>
  </si>
  <si>
    <t>WLG/CHC/ZQN</t>
  </si>
  <si>
    <t>Attend CHASNZ Board Meeting</t>
  </si>
  <si>
    <t>WorkSafe Engagement Forum</t>
  </si>
  <si>
    <t>WorkSafe Engagement Forum * Cancelled</t>
  </si>
  <si>
    <t>Partners Council Hui</t>
  </si>
  <si>
    <t>Office Visit &amp; Stakeholder meetings</t>
  </si>
  <si>
    <t>World Health &amp; Safety Day Event</t>
  </si>
  <si>
    <t>Meeting with Stakeholder</t>
  </si>
  <si>
    <t>Voice Coaching</t>
  </si>
  <si>
    <t>Training</t>
  </si>
  <si>
    <t>Parking</t>
  </si>
  <si>
    <t>Speaking engagement &amp; Stakeholder meetings</t>
  </si>
  <si>
    <t>Stakeholder meetings</t>
  </si>
  <si>
    <t>Attend Fieldays</t>
  </si>
  <si>
    <t>Hamilton</t>
  </si>
  <si>
    <t>Airfares -Fees</t>
  </si>
  <si>
    <t>WLG/AKL/HLZ/AKL/HLZ/WLG</t>
  </si>
  <si>
    <t>Airfares -fees</t>
  </si>
  <si>
    <t>WLG/HLZ/WLG</t>
  </si>
  <si>
    <t>Rental Vehicle</t>
  </si>
  <si>
    <t>Retirement function for Dr Gregor Coster, former WorkSafe Board Chair</t>
  </si>
  <si>
    <t>Victoria University of Wellington</t>
  </si>
  <si>
    <t>Taste of Pamu' function</t>
  </si>
  <si>
    <t>Pamu Farms</t>
  </si>
  <si>
    <t>New Zealand Government</t>
  </si>
  <si>
    <t>Gifts - declined and accepted</t>
  </si>
  <si>
    <t>Pike River 10-Year Anniversary Commemorative Service</t>
  </si>
  <si>
    <t>Breakfast meeting</t>
  </si>
  <si>
    <t>The Hugo Group</t>
  </si>
  <si>
    <t>Momentum</t>
  </si>
  <si>
    <t>Exponential Foundations' seminar</t>
  </si>
  <si>
    <t>STAR Awards Gala dinner</t>
  </si>
  <si>
    <t>Transpower NZ</t>
  </si>
  <si>
    <t>Breakfast with Hon. Nanaia Mahuta</t>
  </si>
  <si>
    <t>Farewell event for outgoing Maritime NZ CE</t>
  </si>
  <si>
    <t>Maritime NZ Board</t>
  </si>
  <si>
    <t>Cocktail function</t>
  </si>
  <si>
    <t>Federated Farmers / Meat, Wool and Dairy Councils</t>
  </si>
  <si>
    <t>Back to Business 2021' cocktail function</t>
  </si>
  <si>
    <t>BusinessNZ</t>
  </si>
  <si>
    <t>Dairy NZ</t>
  </si>
  <si>
    <t>Breakfast with Hon. Stuart Nash</t>
  </si>
  <si>
    <t>Government Health and Safety Lead</t>
  </si>
  <si>
    <t>Awards ceremony</t>
  </si>
  <si>
    <t>WHO 'World Report on Hearing' function</t>
  </si>
  <si>
    <t>Dinner</t>
  </si>
  <si>
    <t>Forestry Industry Safety Council</t>
  </si>
  <si>
    <t>Stakeholder function</t>
  </si>
  <si>
    <t>Contact Energy</t>
  </si>
  <si>
    <t>Cross-Agency Rainbow Network Function</t>
  </si>
  <si>
    <t>CARN</t>
  </si>
  <si>
    <t>Breakfast with Hon. David Parker</t>
  </si>
  <si>
    <t>Breakfast with Hon. Simon Power</t>
  </si>
  <si>
    <t>Dinner - World Day for Safety and Health at Work 2021</t>
  </si>
  <si>
    <t>Sky City / Business Leaders Health and Safety Forum</t>
  </si>
  <si>
    <t>Breakfast</t>
  </si>
  <si>
    <t>Function</t>
  </si>
  <si>
    <t>Contact Energy / Hon Dr. Megan Woods</t>
  </si>
  <si>
    <t>Breakfast with Hon. Grant Robertson</t>
  </si>
  <si>
    <t>2021 Safeguard Awards dinner</t>
  </si>
  <si>
    <t>Business Leaders Health and Safety Forum</t>
  </si>
  <si>
    <t>Annual function</t>
  </si>
  <si>
    <t>Saunders Unsworth</t>
  </si>
  <si>
    <t>Invitations and hospitality - declined and accepted</t>
  </si>
  <si>
    <t>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</si>
</sst>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sz val="10"/>
      <name val="Arial"/>
      <family val="2"/>
    </font>
    <font>
      <i/>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5">
    <xf numFmtId="0" fontId="0" fillId="0" borderId="0"/>
    <xf numFmtId="0" fontId="10" fillId="0" borderId="0" applyNumberFormat="0" applyFill="0" applyBorder="0" applyAlignment="0" applyProtection="0"/>
    <xf numFmtId="165" fontId="23" fillId="0" borderId="0" applyFont="0" applyFill="0" applyBorder="0" applyAlignment="0" applyProtection="0"/>
    <xf numFmtId="0" fontId="23" fillId="0" borderId="0"/>
    <xf numFmtId="0" fontId="37" fillId="0" borderId="0"/>
  </cellStyleXfs>
  <cellXfs count="200">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17" fontId="0" fillId="0" borderId="0" xfId="0" applyNumberFormat="1" applyFont="1" applyProtection="1">
      <protection locked="0"/>
    </xf>
    <xf numFmtId="0" fontId="23" fillId="0" borderId="0" xfId="3" applyAlignment="1" applyProtection="1">
      <alignment wrapText="1"/>
      <protection locked="0"/>
    </xf>
    <xf numFmtId="0" fontId="0" fillId="0" borderId="0" xfId="0" applyFont="1" applyAlignment="1" applyProtection="1">
      <alignment wrapText="1"/>
      <protection locked="0"/>
    </xf>
    <xf numFmtId="0" fontId="0" fillId="0" borderId="0" xfId="3" applyFont="1" applyAlignment="1" applyProtection="1">
      <alignment wrapText="1"/>
      <protection locked="0"/>
    </xf>
    <xf numFmtId="17" fontId="0" fillId="0" borderId="0" xfId="0" applyNumberFormat="1" applyFont="1" applyAlignment="1" applyProtection="1">
      <alignment wrapText="1"/>
      <protection locked="0"/>
    </xf>
    <xf numFmtId="0" fontId="0" fillId="0" borderId="0" xfId="0" applyFont="1" applyBorder="1" applyAlignment="1" applyProtection="1">
      <alignment wrapText="1"/>
      <protection locked="0"/>
    </xf>
    <xf numFmtId="0" fontId="0" fillId="0" borderId="0" xfId="3" applyFont="1" applyAlignment="1" applyProtection="1">
      <protection locked="0"/>
    </xf>
    <xf numFmtId="0" fontId="37" fillId="0" borderId="0" xfId="4" applyProtection="1">
      <protection locked="0"/>
    </xf>
    <xf numFmtId="0" fontId="0" fillId="11" borderId="4" xfId="0" quotePrefix="1" applyFont="1" applyFill="1" applyBorder="1" applyAlignment="1" applyProtection="1">
      <alignment horizontal="left" vertical="center" wrapText="1"/>
      <protection locked="0"/>
    </xf>
    <xf numFmtId="0" fontId="38" fillId="11" borderId="4" xfId="0" applyFont="1" applyFill="1" applyBorder="1" applyAlignment="1" applyProtection="1">
      <alignment horizontal="left" vertical="center" wrapText="1"/>
      <protection locked="0"/>
    </xf>
    <xf numFmtId="0" fontId="0" fillId="11" borderId="4" xfId="0"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5">
    <cellStyle name="Currency" xfId="2" builtinId="4"/>
    <cellStyle name="Hyperlink" xfId="1" builtinId="8"/>
    <cellStyle name="Normal" xfId="0" builtinId="0"/>
    <cellStyle name="Normal 2" xfId="3" xr:uid="{00000000-0005-0000-0000-000003000000}"/>
    <cellStyle name="Normal 3" xfId="4" xr:uid="{FCDBD915-C21E-44D1-898B-B67121389457}"/>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41" zoomScaleNormal="100" workbookViewId="0"/>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6"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5000000}"/>
    <hyperlink ref="A54" r:id="rId7" display="http://www.ssc.govt.nz/assets/Legacy/resources/Chief-Executive-Expense-Disclosure-Guide.pdf" xr:uid="{00000000-0004-0000-0000-000006000000}"/>
    <hyperlink ref="A2" r:id="rId8" display="http://www.ssc.govt.nz/assets/Legacy/resources/Chief-Executive-Expense-Disclosure-Guide.pdf"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view="pageLayout" zoomScaleNormal="100" workbookViewId="0">
      <selection activeCell="B2" sqref="B2:F2"/>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83" t="s">
        <v>51</v>
      </c>
      <c r="B1" s="183"/>
      <c r="C1" s="183"/>
      <c r="D1" s="183"/>
      <c r="E1" s="183"/>
      <c r="F1" s="183"/>
      <c r="G1" s="46"/>
      <c r="H1" s="46"/>
      <c r="I1" s="46"/>
      <c r="J1" s="46"/>
      <c r="K1" s="46"/>
    </row>
    <row r="2" spans="1:11" ht="21" customHeight="1" x14ac:dyDescent="0.2">
      <c r="A2" s="4" t="s">
        <v>52</v>
      </c>
      <c r="B2" s="184" t="s">
        <v>169</v>
      </c>
      <c r="C2" s="184"/>
      <c r="D2" s="184"/>
      <c r="E2" s="184"/>
      <c r="F2" s="184"/>
      <c r="G2" s="46"/>
      <c r="H2" s="46"/>
      <c r="I2" s="46"/>
      <c r="J2" s="46"/>
      <c r="K2" s="46"/>
    </row>
    <row r="3" spans="1:11" ht="21" customHeight="1" x14ac:dyDescent="0.2">
      <c r="A3" s="4" t="s">
        <v>53</v>
      </c>
      <c r="B3" s="184" t="s">
        <v>170</v>
      </c>
      <c r="C3" s="184"/>
      <c r="D3" s="184"/>
      <c r="E3" s="184"/>
      <c r="F3" s="184"/>
      <c r="G3" s="46"/>
      <c r="H3" s="46"/>
      <c r="I3" s="46"/>
      <c r="J3" s="46"/>
      <c r="K3" s="46"/>
    </row>
    <row r="4" spans="1:11" ht="21" customHeight="1" x14ac:dyDescent="0.2">
      <c r="A4" s="4" t="s">
        <v>54</v>
      </c>
      <c r="B4" s="185">
        <v>44013</v>
      </c>
      <c r="C4" s="185"/>
      <c r="D4" s="185"/>
      <c r="E4" s="185"/>
      <c r="F4" s="185"/>
      <c r="G4" s="46"/>
      <c r="H4" s="46"/>
      <c r="I4" s="46"/>
      <c r="J4" s="46"/>
      <c r="K4" s="46"/>
    </row>
    <row r="5" spans="1:11" ht="21" customHeight="1" x14ac:dyDescent="0.2">
      <c r="A5" s="4" t="s">
        <v>55</v>
      </c>
      <c r="B5" s="185">
        <v>44377</v>
      </c>
      <c r="C5" s="185"/>
      <c r="D5" s="185"/>
      <c r="E5" s="185"/>
      <c r="F5" s="185"/>
      <c r="G5" s="46"/>
      <c r="H5" s="46"/>
      <c r="I5" s="46"/>
      <c r="J5" s="46"/>
      <c r="K5" s="46"/>
    </row>
    <row r="6" spans="1:11" ht="21" customHeight="1" x14ac:dyDescent="0.2">
      <c r="A6" s="4" t="s">
        <v>56</v>
      </c>
      <c r="B6" s="182" t="str">
        <f>IF(AND(Travel!B7&lt;&gt;A30,Hospitality!B7&lt;&gt;A30,'All other expenses'!B7&lt;&gt;A30,'Gifts and benefits'!B7&lt;&gt;A30),A31,IF(AND(Travel!B7=A30,Hospitality!B7=A30,'All other expenses'!B7=A30,'Gifts and benefits'!B7=A30),A33,A32))</f>
        <v>Data and totals checked on all sheets</v>
      </c>
      <c r="C6" s="182"/>
      <c r="D6" s="182"/>
      <c r="E6" s="182"/>
      <c r="F6" s="182"/>
      <c r="G6" s="34"/>
      <c r="H6" s="46"/>
      <c r="I6" s="46"/>
      <c r="J6" s="46"/>
      <c r="K6" s="46"/>
    </row>
    <row r="7" spans="1:11" ht="21" customHeight="1" x14ac:dyDescent="0.2">
      <c r="A7" s="4" t="s">
        <v>57</v>
      </c>
      <c r="B7" s="181" t="s">
        <v>89</v>
      </c>
      <c r="C7" s="181"/>
      <c r="D7" s="181"/>
      <c r="E7" s="181"/>
      <c r="F7" s="181"/>
      <c r="G7" s="34"/>
      <c r="H7" s="46"/>
      <c r="I7" s="46"/>
      <c r="J7" s="46"/>
      <c r="K7" s="46"/>
    </row>
    <row r="8" spans="1:11" ht="21" customHeight="1" x14ac:dyDescent="0.2">
      <c r="A8" s="4" t="s">
        <v>59</v>
      </c>
      <c r="B8" s="181" t="s">
        <v>285</v>
      </c>
      <c r="C8" s="181"/>
      <c r="D8" s="181"/>
      <c r="E8" s="181"/>
      <c r="F8" s="181"/>
      <c r="G8" s="34"/>
      <c r="H8" s="46"/>
      <c r="I8" s="46"/>
      <c r="J8" s="46"/>
      <c r="K8" s="46"/>
    </row>
    <row r="9" spans="1:11" ht="66.75" customHeight="1" x14ac:dyDescent="0.2">
      <c r="A9" s="180" t="s">
        <v>60</v>
      </c>
      <c r="B9" s="180"/>
      <c r="C9" s="180"/>
      <c r="D9" s="180"/>
      <c r="E9" s="180"/>
      <c r="F9" s="180"/>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16194.699999999999</v>
      </c>
      <c r="C11" s="102" t="str">
        <f>IF(Travel!B6="",A34,Travel!B6)</f>
        <v>Figures include GST (where applicable)</v>
      </c>
      <c r="D11" s="8"/>
      <c r="E11" s="10" t="s">
        <v>66</v>
      </c>
      <c r="F11" s="56">
        <f>'Gifts and benefits'!C58</f>
        <v>30</v>
      </c>
      <c r="G11" s="47"/>
      <c r="H11" s="47"/>
      <c r="I11" s="47"/>
      <c r="J11" s="47"/>
      <c r="K11" s="47"/>
    </row>
    <row r="12" spans="1:11" ht="27.75" customHeight="1" x14ac:dyDescent="0.2">
      <c r="A12" s="10" t="s">
        <v>24</v>
      </c>
      <c r="B12" s="94">
        <f>Hospitality!B32</f>
        <v>0</v>
      </c>
      <c r="C12" s="102" t="str">
        <f>IF(Hospitality!B6="",A34,Hospitality!B6)</f>
        <v>Figures include GST (where applicable)</v>
      </c>
      <c r="D12" s="8"/>
      <c r="E12" s="10" t="s">
        <v>67</v>
      </c>
      <c r="F12" s="56">
        <f>'Gifts and benefits'!C59</f>
        <v>16</v>
      </c>
      <c r="G12" s="47"/>
      <c r="H12" s="47"/>
      <c r="I12" s="47"/>
      <c r="J12" s="47"/>
      <c r="K12" s="47"/>
    </row>
    <row r="13" spans="1:11" ht="27.75" customHeight="1" x14ac:dyDescent="0.2">
      <c r="A13" s="10" t="s">
        <v>68</v>
      </c>
      <c r="B13" s="94">
        <f>'All other expenses'!B32</f>
        <v>12185.714</v>
      </c>
      <c r="C13" s="102" t="str">
        <f>IF('All other expenses'!B6="",A34,'All other expenses'!B6)</f>
        <v>Figures include GST (where applicable)</v>
      </c>
      <c r="D13" s="8"/>
      <c r="E13" s="10" t="s">
        <v>69</v>
      </c>
      <c r="F13" s="56">
        <f>'Gifts and benefits'!C60</f>
        <v>14</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Travel!B22</f>
        <v>0</v>
      </c>
      <c r="C15" s="104" t="str">
        <f>C11</f>
        <v>Figures include GST (where applicable)</v>
      </c>
      <c r="D15" s="8"/>
      <c r="E15" s="8"/>
      <c r="F15" s="58"/>
      <c r="G15" s="46"/>
      <c r="H15" s="46"/>
      <c r="I15" s="46"/>
      <c r="J15" s="46"/>
      <c r="K15" s="46"/>
    </row>
    <row r="16" spans="1:11" ht="27.75" customHeight="1" x14ac:dyDescent="0.2">
      <c r="A16" s="11" t="s">
        <v>71</v>
      </c>
      <c r="B16" s="96">
        <f>Travel!B157</f>
        <v>16007.9</v>
      </c>
      <c r="C16" s="104" t="str">
        <f>C11</f>
        <v>Figures include GST (where applicable)</v>
      </c>
      <c r="D16" s="59"/>
      <c r="E16" s="8"/>
      <c r="F16" s="60"/>
      <c r="G16" s="46"/>
      <c r="H16" s="46"/>
      <c r="I16" s="46"/>
      <c r="J16" s="46"/>
      <c r="K16" s="46"/>
    </row>
    <row r="17" spans="1:11" ht="27.75" customHeight="1" x14ac:dyDescent="0.2">
      <c r="A17" s="11" t="s">
        <v>72</v>
      </c>
      <c r="B17" s="96">
        <f>Travel!B171</f>
        <v>186.8</v>
      </c>
      <c r="C17" s="104" t="str">
        <f>C11</f>
        <v>Figures include GST (where applicable)</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COUNT(Travel!B12:B21)</f>
        <v>0</v>
      </c>
      <c r="C55" s="111"/>
      <c r="D55" s="111">
        <f>COUNTIF(Travel!D12:D21,"*")</f>
        <v>0</v>
      </c>
      <c r="E55" s="112"/>
      <c r="F55" s="112" t="b">
        <f>MIN(B55,D55)=MAX(B55,D55)</f>
        <v>1</v>
      </c>
      <c r="G55" s="46"/>
      <c r="H55" s="46"/>
      <c r="I55" s="46"/>
      <c r="J55" s="46"/>
      <c r="K55" s="46"/>
    </row>
    <row r="56" spans="1:11" hidden="1" x14ac:dyDescent="0.2">
      <c r="A56" s="121" t="s">
        <v>105</v>
      </c>
      <c r="B56" s="111">
        <f>COUNT(Travel!B26:B156)</f>
        <v>104</v>
      </c>
      <c r="C56" s="111"/>
      <c r="D56" s="111">
        <f>COUNTIF(Travel!D26:D156,"*")</f>
        <v>104</v>
      </c>
      <c r="E56" s="112"/>
      <c r="F56" s="112" t="b">
        <f>MIN(B56,D56)=MAX(B56,D56)</f>
        <v>1</v>
      </c>
    </row>
    <row r="57" spans="1:11" hidden="1" x14ac:dyDescent="0.2">
      <c r="A57" s="122"/>
      <c r="B57" s="111">
        <f>COUNT(Travel!B161:B170)</f>
        <v>3</v>
      </c>
      <c r="C57" s="111"/>
      <c r="D57" s="111">
        <f>COUNTIF(Travel!D161:D170,"*")</f>
        <v>3</v>
      </c>
      <c r="E57" s="112"/>
      <c r="F57" s="112" t="b">
        <f>MIN(B57,D57)=MAX(B57,D57)</f>
        <v>1</v>
      </c>
    </row>
    <row r="58" spans="1:11" hidden="1" x14ac:dyDescent="0.2">
      <c r="A58" s="123" t="s">
        <v>106</v>
      </c>
      <c r="B58" s="113">
        <f>COUNT(Hospitality!B11:B31)</f>
        <v>0</v>
      </c>
      <c r="C58" s="113"/>
      <c r="D58" s="113">
        <f>COUNTIF(Hospitality!D11:D31,"*")</f>
        <v>0</v>
      </c>
      <c r="E58" s="114"/>
      <c r="F58" s="114" t="b">
        <f>MIN(B58,D58)=MAX(B58,D58)</f>
        <v>1</v>
      </c>
    </row>
    <row r="59" spans="1:11" hidden="1" x14ac:dyDescent="0.2">
      <c r="A59" s="124" t="s">
        <v>107</v>
      </c>
      <c r="B59" s="112">
        <f>COUNT('All other expenses'!B11:B31)</f>
        <v>18</v>
      </c>
      <c r="C59" s="112"/>
      <c r="D59" s="112">
        <f>COUNTIF('All other expenses'!D11:D31,"*")</f>
        <v>18</v>
      </c>
      <c r="E59" s="112"/>
      <c r="F59" s="112" t="b">
        <f>MIN(B59,D59)=MAX(B59,D59)</f>
        <v>1</v>
      </c>
    </row>
    <row r="60" spans="1:11" hidden="1" x14ac:dyDescent="0.2">
      <c r="A60" s="123" t="s">
        <v>108</v>
      </c>
      <c r="B60" s="113">
        <f>COUNTIF('Gifts and benefits'!B11:B57,"*")</f>
        <v>32</v>
      </c>
      <c r="C60" s="113">
        <f>COUNTIF('Gifts and benefits'!C11:C57,"*")</f>
        <v>30</v>
      </c>
      <c r="D60" s="113"/>
      <c r="E60" s="113">
        <f>COUNTA('Gifts and benefits'!E11:E57)</f>
        <v>30</v>
      </c>
      <c r="F60" s="114" t="b">
        <f>MIN(B60,C60,E60)=MAX(B60,C60,E60)</f>
        <v>0</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0" orientation="landscape" r:id="rId1"/>
  <headerFooter alignWithMargins="0">
    <oddFooter>&amp;LCE Expense Disclosure Workbook 2021&amp;RWorksheet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44"/>
  <sheetViews>
    <sheetView zoomScaleNormal="100" zoomScaleSheetLayoutView="106"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83" t="s">
        <v>109</v>
      </c>
      <c r="B1" s="183"/>
      <c r="C1" s="183"/>
      <c r="D1" s="183"/>
      <c r="E1" s="183"/>
      <c r="F1" s="46"/>
    </row>
    <row r="2" spans="1:6" ht="21" customHeight="1" x14ac:dyDescent="0.2">
      <c r="A2" s="4" t="s">
        <v>52</v>
      </c>
      <c r="B2" s="186" t="str">
        <f>'Summary and sign-off'!B2:F2</f>
        <v>WorkSafe New Zealand</v>
      </c>
      <c r="C2" s="186"/>
      <c r="D2" s="186"/>
      <c r="E2" s="186"/>
      <c r="F2" s="46"/>
    </row>
    <row r="3" spans="1:6" ht="21" customHeight="1" x14ac:dyDescent="0.2">
      <c r="A3" s="4" t="s">
        <v>110</v>
      </c>
      <c r="B3" s="186" t="str">
        <f>'Summary and sign-off'!B3:F3</f>
        <v>Phil Parkes</v>
      </c>
      <c r="C3" s="186"/>
      <c r="D3" s="186"/>
      <c r="E3" s="186"/>
      <c r="F3" s="46"/>
    </row>
    <row r="4" spans="1:6" ht="21" customHeight="1" x14ac:dyDescent="0.2">
      <c r="A4" s="4" t="s">
        <v>111</v>
      </c>
      <c r="B4" s="186">
        <f>'Summary and sign-off'!B4:F4</f>
        <v>44013</v>
      </c>
      <c r="C4" s="186"/>
      <c r="D4" s="186"/>
      <c r="E4" s="186"/>
      <c r="F4" s="46"/>
    </row>
    <row r="5" spans="1:6" ht="21" customHeight="1" x14ac:dyDescent="0.2">
      <c r="A5" s="4" t="s">
        <v>112</v>
      </c>
      <c r="B5" s="186">
        <f>'Summary and sign-off'!B5:F5</f>
        <v>44377</v>
      </c>
      <c r="C5" s="186"/>
      <c r="D5" s="186"/>
      <c r="E5" s="186"/>
      <c r="F5" s="46"/>
    </row>
    <row r="6" spans="1:6" ht="21" customHeight="1" x14ac:dyDescent="0.2">
      <c r="A6" s="4" t="s">
        <v>113</v>
      </c>
      <c r="B6" s="181" t="s">
        <v>80</v>
      </c>
      <c r="C6" s="181"/>
      <c r="D6" s="181"/>
      <c r="E6" s="181"/>
      <c r="F6" s="46"/>
    </row>
    <row r="7" spans="1:6" ht="21" customHeight="1" x14ac:dyDescent="0.2">
      <c r="A7" s="4" t="s">
        <v>56</v>
      </c>
      <c r="B7" s="181" t="s">
        <v>83</v>
      </c>
      <c r="C7" s="181"/>
      <c r="D7" s="181"/>
      <c r="E7" s="181"/>
      <c r="F7" s="46"/>
    </row>
    <row r="8" spans="1:6" ht="36" customHeight="1" x14ac:dyDescent="0.2">
      <c r="A8" s="189" t="s">
        <v>114</v>
      </c>
      <c r="B8" s="190"/>
      <c r="C8" s="190"/>
      <c r="D8" s="190"/>
      <c r="E8" s="190"/>
      <c r="F8" s="22"/>
    </row>
    <row r="9" spans="1:6" ht="36" customHeight="1" x14ac:dyDescent="0.2">
      <c r="A9" s="191" t="s">
        <v>115</v>
      </c>
      <c r="B9" s="192"/>
      <c r="C9" s="192"/>
      <c r="D9" s="192"/>
      <c r="E9" s="192"/>
      <c r="F9" s="22"/>
    </row>
    <row r="10" spans="1:6" ht="24.75" customHeight="1" x14ac:dyDescent="0.2">
      <c r="A10" s="188" t="s">
        <v>116</v>
      </c>
      <c r="B10" s="193"/>
      <c r="C10" s="188"/>
      <c r="D10" s="188"/>
      <c r="E10" s="188"/>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x14ac:dyDescent="0.2">
      <c r="A13" s="157"/>
      <c r="B13" s="158"/>
      <c r="C13" s="159"/>
      <c r="D13" s="159"/>
      <c r="E13" s="160"/>
      <c r="F13" s="1"/>
    </row>
    <row r="14" spans="1:6" s="87" customFormat="1" x14ac:dyDescent="0.2">
      <c r="A14" s="157"/>
      <c r="B14" s="158"/>
      <c r="C14" s="159"/>
      <c r="D14" s="159"/>
      <c r="E14" s="160"/>
      <c r="F14" s="1"/>
    </row>
    <row r="15" spans="1:6" s="87" customFormat="1" x14ac:dyDescent="0.2">
      <c r="A15" s="157"/>
      <c r="B15" s="158"/>
      <c r="C15" s="159"/>
      <c r="D15" s="159"/>
      <c r="E15" s="160"/>
      <c r="F15" s="1"/>
    </row>
    <row r="16" spans="1:6" s="87" customFormat="1" x14ac:dyDescent="0.2">
      <c r="A16" s="157"/>
      <c r="B16" s="158"/>
      <c r="C16" s="159"/>
      <c r="D16" s="159"/>
      <c r="E16" s="160"/>
      <c r="F16" s="1"/>
    </row>
    <row r="17" spans="1:6" s="87" customFormat="1" x14ac:dyDescent="0.2">
      <c r="A17" s="157"/>
      <c r="B17" s="158"/>
      <c r="C17" s="159"/>
      <c r="D17" s="159"/>
      <c r="E17" s="160"/>
      <c r="F17" s="1"/>
    </row>
    <row r="18" spans="1:6" s="87" customFormat="1" ht="12.75" customHeight="1" x14ac:dyDescent="0.2">
      <c r="A18" s="157"/>
      <c r="B18" s="158"/>
      <c r="C18" s="159"/>
      <c r="D18" s="159"/>
      <c r="E18" s="160"/>
      <c r="F18" s="1"/>
    </row>
    <row r="19" spans="1:6" s="87" customFormat="1" x14ac:dyDescent="0.2">
      <c r="A19" s="161"/>
      <c r="B19" s="158"/>
      <c r="C19" s="159"/>
      <c r="D19" s="159"/>
      <c r="E19" s="160"/>
      <c r="F19" s="1"/>
    </row>
    <row r="20" spans="1:6" s="87" customFormat="1" x14ac:dyDescent="0.2">
      <c r="A20" s="161"/>
      <c r="B20" s="158"/>
      <c r="C20" s="159"/>
      <c r="D20" s="159"/>
      <c r="E20" s="160"/>
      <c r="F20" s="1"/>
    </row>
    <row r="21" spans="1:6" s="87" customFormat="1" hidden="1" x14ac:dyDescent="0.2">
      <c r="A21" s="143"/>
      <c r="B21" s="144"/>
      <c r="C21" s="145"/>
      <c r="D21" s="145"/>
      <c r="E21" s="146"/>
      <c r="F21" s="1"/>
    </row>
    <row r="22" spans="1:6" ht="19.5" customHeight="1" x14ac:dyDescent="0.2">
      <c r="A22" s="107" t="s">
        <v>122</v>
      </c>
      <c r="B22" s="108">
        <f>SUM(B12:B21)</f>
        <v>0</v>
      </c>
      <c r="C22" s="168" t="str">
        <f>IF(SUBTOTAL(3,B12:B21)=SUBTOTAL(103,B12:B21),'Summary and sign-off'!$A$48,'Summary and sign-off'!$A$49)</f>
        <v>Check - there are no hidden rows with data</v>
      </c>
      <c r="D22" s="187" t="str">
        <f>IF('Summary and sign-off'!F55='Summary and sign-off'!F54,'Summary and sign-off'!A51,'Summary and sign-off'!A50)</f>
        <v>Check - each entry provides sufficient information</v>
      </c>
      <c r="E22" s="187"/>
      <c r="F22" s="46"/>
    </row>
    <row r="23" spans="1:6" ht="10.5" customHeight="1" x14ac:dyDescent="0.2">
      <c r="A23" s="27"/>
      <c r="B23" s="22"/>
      <c r="C23" s="27"/>
      <c r="D23" s="27"/>
      <c r="E23" s="27"/>
      <c r="F23" s="27"/>
    </row>
    <row r="24" spans="1:6" ht="24.75" customHeight="1" x14ac:dyDescent="0.2">
      <c r="A24" s="188" t="s">
        <v>123</v>
      </c>
      <c r="B24" s="188"/>
      <c r="C24" s="188"/>
      <c r="D24" s="188"/>
      <c r="E24" s="188"/>
      <c r="F24" s="47"/>
    </row>
    <row r="25" spans="1:6" ht="27" customHeight="1" x14ac:dyDescent="0.2">
      <c r="A25" s="35" t="s">
        <v>117</v>
      </c>
      <c r="B25" s="35" t="s">
        <v>62</v>
      </c>
      <c r="C25" s="35" t="s">
        <v>124</v>
      </c>
      <c r="D25" s="35" t="s">
        <v>120</v>
      </c>
      <c r="E25" s="35" t="s">
        <v>121</v>
      </c>
      <c r="F25" s="48"/>
    </row>
    <row r="26" spans="1:6" s="87" customFormat="1" hidden="1" x14ac:dyDescent="0.2">
      <c r="A26" s="133"/>
      <c r="B26" s="134"/>
      <c r="C26" s="135"/>
      <c r="D26" s="135"/>
      <c r="E26" s="136"/>
      <c r="F26" s="1"/>
    </row>
    <row r="27" spans="1:6" s="87" customFormat="1" x14ac:dyDescent="0.2">
      <c r="A27" s="157">
        <v>43906</v>
      </c>
      <c r="B27" s="158">
        <f>336.4+28.75-9.13</f>
        <v>356.02</v>
      </c>
      <c r="C27" s="159" t="s">
        <v>189</v>
      </c>
      <c r="D27" s="159" t="s">
        <v>171</v>
      </c>
      <c r="E27" s="160" t="s">
        <v>176</v>
      </c>
      <c r="F27" s="1"/>
    </row>
    <row r="28" spans="1:6" s="87" customFormat="1" x14ac:dyDescent="0.2">
      <c r="A28" s="157"/>
      <c r="B28" s="158"/>
      <c r="C28" s="159"/>
      <c r="D28" s="159"/>
      <c r="E28" s="160"/>
      <c r="F28" s="1"/>
    </row>
    <row r="29" spans="1:6" s="87" customFormat="1" x14ac:dyDescent="0.2">
      <c r="A29" s="157">
        <v>44034</v>
      </c>
      <c r="B29" s="158">
        <f>5.75+519.5</f>
        <v>525.25</v>
      </c>
      <c r="C29" s="159" t="s">
        <v>188</v>
      </c>
      <c r="D29" s="159" t="s">
        <v>171</v>
      </c>
      <c r="E29" s="160" t="s">
        <v>175</v>
      </c>
      <c r="F29" s="1"/>
    </row>
    <row r="30" spans="1:6" s="87" customFormat="1" x14ac:dyDescent="0.2">
      <c r="A30" s="157">
        <v>44034</v>
      </c>
      <c r="B30" s="158">
        <f>179+6.9</f>
        <v>185.9</v>
      </c>
      <c r="C30" s="159" t="s">
        <v>188</v>
      </c>
      <c r="D30" s="159" t="s">
        <v>172</v>
      </c>
      <c r="E30" s="160" t="s">
        <v>175</v>
      </c>
      <c r="F30" s="1"/>
    </row>
    <row r="31" spans="1:6" s="87" customFormat="1" x14ac:dyDescent="0.2">
      <c r="A31" s="157">
        <v>44034</v>
      </c>
      <c r="B31" s="158">
        <v>34.200000000000003</v>
      </c>
      <c r="C31" s="159" t="s">
        <v>188</v>
      </c>
      <c r="D31" s="159" t="s">
        <v>183</v>
      </c>
      <c r="E31" s="160" t="s">
        <v>178</v>
      </c>
      <c r="F31" s="1"/>
    </row>
    <row r="32" spans="1:6" s="87" customFormat="1" x14ac:dyDescent="0.2">
      <c r="A32" s="157">
        <v>44034</v>
      </c>
      <c r="B32" s="158">
        <v>83.2</v>
      </c>
      <c r="C32" s="159" t="s">
        <v>188</v>
      </c>
      <c r="D32" s="159" t="s">
        <v>183</v>
      </c>
      <c r="E32" s="160" t="s">
        <v>182</v>
      </c>
      <c r="F32" s="1"/>
    </row>
    <row r="33" spans="1:6" s="87" customFormat="1" x14ac:dyDescent="0.2">
      <c r="A33" s="157">
        <v>44034</v>
      </c>
      <c r="B33" s="158">
        <v>82.3</v>
      </c>
      <c r="C33" s="159" t="s">
        <v>188</v>
      </c>
      <c r="D33" s="159" t="s">
        <v>183</v>
      </c>
      <c r="E33" s="160" t="s">
        <v>182</v>
      </c>
      <c r="F33" s="1"/>
    </row>
    <row r="34" spans="1:6" s="87" customFormat="1" x14ac:dyDescent="0.2">
      <c r="A34" s="157">
        <v>44034</v>
      </c>
      <c r="B34" s="158">
        <v>33.1</v>
      </c>
      <c r="C34" s="159" t="s">
        <v>188</v>
      </c>
      <c r="D34" s="159" t="s">
        <v>183</v>
      </c>
      <c r="E34" s="160" t="s">
        <v>178</v>
      </c>
      <c r="F34" s="1"/>
    </row>
    <row r="35" spans="1:6" s="87" customFormat="1" x14ac:dyDescent="0.2">
      <c r="A35" s="157"/>
      <c r="B35" s="158"/>
      <c r="C35" s="159"/>
      <c r="D35" s="159"/>
      <c r="E35" s="160"/>
      <c r="F35" s="1"/>
    </row>
    <row r="36" spans="1:6" s="87" customFormat="1" x14ac:dyDescent="0.2">
      <c r="A36" s="157">
        <v>44088</v>
      </c>
      <c r="B36" s="158">
        <f>23+23+64.03+23+127.03</f>
        <v>260.06</v>
      </c>
      <c r="C36" s="159" t="s">
        <v>188</v>
      </c>
      <c r="D36" s="159" t="s">
        <v>171</v>
      </c>
      <c r="E36" s="160" t="s">
        <v>175</v>
      </c>
      <c r="F36" s="1"/>
    </row>
    <row r="37" spans="1:6" s="87" customFormat="1" x14ac:dyDescent="0.2">
      <c r="A37" s="157" t="s">
        <v>185</v>
      </c>
      <c r="B37" s="158">
        <f>561.39+6.9</f>
        <v>568.29</v>
      </c>
      <c r="C37" s="159" t="s">
        <v>188</v>
      </c>
      <c r="D37" s="159" t="s">
        <v>172</v>
      </c>
      <c r="E37" s="160" t="s">
        <v>175</v>
      </c>
      <c r="F37" s="1"/>
    </row>
    <row r="38" spans="1:6" s="87" customFormat="1" x14ac:dyDescent="0.2">
      <c r="A38" s="157">
        <v>44088</v>
      </c>
      <c r="B38" s="158">
        <f>28.9+23.5</f>
        <v>52.4</v>
      </c>
      <c r="C38" s="159" t="s">
        <v>180</v>
      </c>
      <c r="D38" s="159" t="s">
        <v>181</v>
      </c>
      <c r="E38" s="160" t="s">
        <v>182</v>
      </c>
      <c r="F38" s="1"/>
    </row>
    <row r="39" spans="1:6" s="87" customFormat="1" x14ac:dyDescent="0.2">
      <c r="A39" s="157">
        <v>44088</v>
      </c>
      <c r="B39" s="158">
        <f>37.6+88</f>
        <v>125.6</v>
      </c>
      <c r="C39" s="159" t="s">
        <v>180</v>
      </c>
      <c r="D39" s="159" t="s">
        <v>183</v>
      </c>
      <c r="E39" s="160" t="s">
        <v>186</v>
      </c>
      <c r="F39" s="1"/>
    </row>
    <row r="40" spans="1:6" s="87" customFormat="1" x14ac:dyDescent="0.2">
      <c r="A40" s="157">
        <v>44089</v>
      </c>
      <c r="B40" s="158">
        <f>22.6+55.8+50</f>
        <v>128.4</v>
      </c>
      <c r="C40" s="159" t="s">
        <v>180</v>
      </c>
      <c r="D40" s="159" t="s">
        <v>183</v>
      </c>
      <c r="E40" s="160" t="s">
        <v>182</v>
      </c>
      <c r="F40" s="1"/>
    </row>
    <row r="41" spans="1:6" s="87" customFormat="1" x14ac:dyDescent="0.2">
      <c r="A41" s="157">
        <v>44090</v>
      </c>
      <c r="B41" s="158">
        <f>93.1+97.5</f>
        <v>190.6</v>
      </c>
      <c r="C41" s="159" t="s">
        <v>180</v>
      </c>
      <c r="D41" s="159" t="s">
        <v>183</v>
      </c>
      <c r="E41" s="160" t="s">
        <v>182</v>
      </c>
      <c r="F41" s="1"/>
    </row>
    <row r="42" spans="1:6" s="87" customFormat="1" x14ac:dyDescent="0.2">
      <c r="A42" s="157">
        <v>44091</v>
      </c>
      <c r="B42" s="158">
        <v>85.3</v>
      </c>
      <c r="C42" s="159" t="s">
        <v>180</v>
      </c>
      <c r="D42" s="159" t="s">
        <v>183</v>
      </c>
      <c r="E42" s="160" t="s">
        <v>182</v>
      </c>
      <c r="F42" s="1"/>
    </row>
    <row r="43" spans="1:6" s="87" customFormat="1" x14ac:dyDescent="0.2">
      <c r="A43" s="157"/>
      <c r="B43" s="158"/>
      <c r="C43" s="159"/>
      <c r="D43" s="159"/>
      <c r="E43" s="160"/>
      <c r="F43" s="1"/>
    </row>
    <row r="44" spans="1:6" s="87" customFormat="1" x14ac:dyDescent="0.2">
      <c r="A44" s="157" t="s">
        <v>173</v>
      </c>
      <c r="B44" s="158">
        <f>5.75+23+381.04+203.67-231.58</f>
        <v>381.88</v>
      </c>
      <c r="C44" s="159" t="s">
        <v>203</v>
      </c>
      <c r="D44" s="159" t="s">
        <v>171</v>
      </c>
      <c r="E44" s="160" t="s">
        <v>175</v>
      </c>
    </row>
    <row r="45" spans="1:6" s="87" customFormat="1" x14ac:dyDescent="0.2">
      <c r="A45" s="157">
        <v>44118</v>
      </c>
      <c r="B45" s="158">
        <f>190+6.9</f>
        <v>196.9</v>
      </c>
      <c r="C45" s="159" t="s">
        <v>203</v>
      </c>
      <c r="D45" s="159" t="s">
        <v>172</v>
      </c>
      <c r="E45" s="160" t="s">
        <v>182</v>
      </c>
    </row>
    <row r="46" spans="1:6" s="87" customFormat="1" x14ac:dyDescent="0.2">
      <c r="A46" s="157"/>
      <c r="B46" s="158"/>
      <c r="C46" s="159"/>
      <c r="D46" s="159"/>
      <c r="E46" s="160"/>
    </row>
    <row r="47" spans="1:6" s="87" customFormat="1" x14ac:dyDescent="0.2">
      <c r="A47" s="157">
        <v>44123</v>
      </c>
      <c r="B47" s="158">
        <f>5.75</f>
        <v>5.75</v>
      </c>
      <c r="C47" s="159" t="s">
        <v>206</v>
      </c>
      <c r="D47" s="159" t="s">
        <v>174</v>
      </c>
      <c r="E47" s="160" t="s">
        <v>175</v>
      </c>
    </row>
    <row r="48" spans="1:6" s="87" customFormat="1" x14ac:dyDescent="0.2">
      <c r="A48" s="157">
        <v>44123</v>
      </c>
      <c r="B48" s="158">
        <f>380+6.9</f>
        <v>386.9</v>
      </c>
      <c r="C48" s="159" t="s">
        <v>206</v>
      </c>
      <c r="D48" s="159" t="s">
        <v>172</v>
      </c>
      <c r="E48" s="160" t="s">
        <v>182</v>
      </c>
    </row>
    <row r="49" spans="1:5" s="87" customFormat="1" x14ac:dyDescent="0.2">
      <c r="A49" s="157">
        <v>44124</v>
      </c>
      <c r="B49" s="158">
        <f>115</f>
        <v>115</v>
      </c>
      <c r="C49" s="159" t="s">
        <v>206</v>
      </c>
      <c r="D49" s="159" t="s">
        <v>171</v>
      </c>
      <c r="E49" s="160"/>
    </row>
    <row r="50" spans="1:5" s="87" customFormat="1" x14ac:dyDescent="0.2">
      <c r="A50" s="157"/>
      <c r="B50" s="158"/>
      <c r="C50" s="159"/>
      <c r="D50" s="159"/>
      <c r="E50" s="160"/>
    </row>
    <row r="51" spans="1:5" s="87" customFormat="1" x14ac:dyDescent="0.2">
      <c r="A51" s="157">
        <v>44137</v>
      </c>
      <c r="B51" s="158">
        <f>22.54+23+5.75+268.77</f>
        <v>320.06</v>
      </c>
      <c r="C51" s="159" t="s">
        <v>204</v>
      </c>
      <c r="D51" s="159" t="s">
        <v>171</v>
      </c>
      <c r="E51" s="160" t="s">
        <v>194</v>
      </c>
    </row>
    <row r="52" spans="1:5" s="87" customFormat="1" x14ac:dyDescent="0.2">
      <c r="A52" s="157" t="s">
        <v>198</v>
      </c>
      <c r="B52" s="158">
        <f>6.9+6.9+212.27+6.9+175</f>
        <v>407.97</v>
      </c>
      <c r="C52" s="159" t="s">
        <v>204</v>
      </c>
      <c r="D52" s="159" t="s">
        <v>172</v>
      </c>
      <c r="E52" s="160" t="s">
        <v>182</v>
      </c>
    </row>
    <row r="53" spans="1:5" s="87" customFormat="1" x14ac:dyDescent="0.2">
      <c r="A53" s="157">
        <v>44137</v>
      </c>
      <c r="B53" s="158">
        <f>41.8</f>
        <v>41.8</v>
      </c>
      <c r="C53" s="159" t="s">
        <v>204</v>
      </c>
      <c r="D53" s="159" t="s">
        <v>183</v>
      </c>
      <c r="E53" s="160" t="s">
        <v>178</v>
      </c>
    </row>
    <row r="54" spans="1:5" s="87" customFormat="1" x14ac:dyDescent="0.2">
      <c r="A54" s="157">
        <v>44137</v>
      </c>
      <c r="B54" s="158">
        <v>87.5</v>
      </c>
      <c r="C54" s="159" t="s">
        <v>204</v>
      </c>
      <c r="D54" s="159" t="s">
        <v>183</v>
      </c>
      <c r="E54" s="160" t="s">
        <v>182</v>
      </c>
    </row>
    <row r="55" spans="1:5" s="87" customFormat="1" x14ac:dyDescent="0.2">
      <c r="A55" s="157">
        <v>44138</v>
      </c>
      <c r="B55" s="158">
        <v>98.1</v>
      </c>
      <c r="C55" s="159" t="s">
        <v>204</v>
      </c>
      <c r="D55" s="159" t="s">
        <v>183</v>
      </c>
      <c r="E55" s="160" t="s">
        <v>182</v>
      </c>
    </row>
    <row r="56" spans="1:5" s="87" customFormat="1" x14ac:dyDescent="0.2">
      <c r="A56" s="157">
        <v>44138</v>
      </c>
      <c r="B56" s="158">
        <v>171.5</v>
      </c>
      <c r="C56" s="159" t="s">
        <v>204</v>
      </c>
      <c r="D56" s="159" t="s">
        <v>210</v>
      </c>
      <c r="E56" s="160" t="s">
        <v>182</v>
      </c>
    </row>
    <row r="57" spans="1:5" s="87" customFormat="1" x14ac:dyDescent="0.2">
      <c r="A57" s="157">
        <v>44139</v>
      </c>
      <c r="B57" s="158">
        <f>190</f>
        <v>190</v>
      </c>
      <c r="C57" s="159" t="s">
        <v>204</v>
      </c>
      <c r="D57" s="159" t="s">
        <v>172</v>
      </c>
      <c r="E57" s="160" t="s">
        <v>199</v>
      </c>
    </row>
    <row r="58" spans="1:5" s="87" customFormat="1" x14ac:dyDescent="0.2">
      <c r="A58" s="157">
        <v>44140</v>
      </c>
      <c r="B58" s="158">
        <v>33.700000000000003</v>
      </c>
      <c r="C58" s="159" t="s">
        <v>204</v>
      </c>
      <c r="D58" s="159" t="s">
        <v>183</v>
      </c>
      <c r="E58" s="160" t="s">
        <v>178</v>
      </c>
    </row>
    <row r="59" spans="1:5" s="87" customFormat="1" x14ac:dyDescent="0.2">
      <c r="A59" s="157">
        <v>44140</v>
      </c>
      <c r="B59" s="158">
        <v>25.8</v>
      </c>
      <c r="C59" s="159" t="s">
        <v>204</v>
      </c>
      <c r="D59" s="159" t="s">
        <v>183</v>
      </c>
      <c r="E59" s="160" t="s">
        <v>199</v>
      </c>
    </row>
    <row r="60" spans="1:5" s="87" customFormat="1" x14ac:dyDescent="0.2">
      <c r="A60" s="157">
        <v>44140</v>
      </c>
      <c r="B60" s="158">
        <f>5.75+310.09</f>
        <v>315.83999999999997</v>
      </c>
      <c r="C60" s="159" t="s">
        <v>204</v>
      </c>
      <c r="D60" s="159" t="s">
        <v>171</v>
      </c>
      <c r="E60" s="160" t="s">
        <v>195</v>
      </c>
    </row>
    <row r="61" spans="1:5" s="87" customFormat="1" x14ac:dyDescent="0.2">
      <c r="A61" s="157"/>
      <c r="B61" s="158"/>
      <c r="C61" s="159"/>
      <c r="D61" s="159"/>
      <c r="E61" s="160"/>
    </row>
    <row r="62" spans="1:5" s="87" customFormat="1" x14ac:dyDescent="0.2">
      <c r="A62" s="157">
        <v>44146</v>
      </c>
      <c r="B62" s="158">
        <f>22.54+657.51</f>
        <v>680.05</v>
      </c>
      <c r="C62" s="159" t="s">
        <v>207</v>
      </c>
      <c r="D62" s="159" t="s">
        <v>171</v>
      </c>
      <c r="E62" s="160" t="s">
        <v>175</v>
      </c>
    </row>
    <row r="63" spans="1:5" s="87" customFormat="1" x14ac:dyDescent="0.2">
      <c r="A63" s="157">
        <v>44146</v>
      </c>
      <c r="B63" s="158">
        <f>279+6.9</f>
        <v>285.89999999999998</v>
      </c>
      <c r="C63" s="159" t="s">
        <v>207</v>
      </c>
      <c r="D63" s="159" t="s">
        <v>172</v>
      </c>
      <c r="E63" s="160" t="s">
        <v>182</v>
      </c>
    </row>
    <row r="64" spans="1:5" s="87" customFormat="1" x14ac:dyDescent="0.2">
      <c r="A64" s="157">
        <v>44146</v>
      </c>
      <c r="B64" s="158">
        <f>38</f>
        <v>38</v>
      </c>
      <c r="C64" s="159" t="s">
        <v>207</v>
      </c>
      <c r="D64" s="159" t="s">
        <v>183</v>
      </c>
      <c r="E64" s="160" t="s">
        <v>178</v>
      </c>
    </row>
    <row r="65" spans="1:5" s="87" customFormat="1" x14ac:dyDescent="0.2">
      <c r="A65" s="157">
        <v>44146</v>
      </c>
      <c r="B65" s="158">
        <v>84.3</v>
      </c>
      <c r="C65" s="159" t="s">
        <v>207</v>
      </c>
      <c r="D65" s="159" t="s">
        <v>183</v>
      </c>
      <c r="E65" s="160" t="s">
        <v>182</v>
      </c>
    </row>
    <row r="66" spans="1:5" s="87" customFormat="1" x14ac:dyDescent="0.2">
      <c r="A66" s="157">
        <v>44147</v>
      </c>
      <c r="B66" s="158">
        <v>97.3</v>
      </c>
      <c r="C66" s="159" t="s">
        <v>207</v>
      </c>
      <c r="D66" s="159" t="s">
        <v>183</v>
      </c>
      <c r="E66" s="160" t="s">
        <v>182</v>
      </c>
    </row>
    <row r="67" spans="1:5" s="87" customFormat="1" x14ac:dyDescent="0.2">
      <c r="A67" s="157">
        <v>44147</v>
      </c>
      <c r="B67" s="158">
        <v>39.6</v>
      </c>
      <c r="C67" s="159" t="s">
        <v>207</v>
      </c>
      <c r="D67" s="159" t="s">
        <v>183</v>
      </c>
      <c r="E67" s="160" t="s">
        <v>178</v>
      </c>
    </row>
    <row r="68" spans="1:5" s="87" customFormat="1" x14ac:dyDescent="0.2">
      <c r="A68" s="157"/>
      <c r="B68" s="158"/>
      <c r="C68" s="159"/>
      <c r="D68" s="159"/>
      <c r="E68" s="160"/>
    </row>
    <row r="69" spans="1:5" s="87" customFormat="1" x14ac:dyDescent="0.2">
      <c r="A69" s="157">
        <v>44156</v>
      </c>
      <c r="B69" s="158">
        <f>22.54+300.39+312.48</f>
        <v>635.41000000000008</v>
      </c>
      <c r="C69" s="159" t="s">
        <v>208</v>
      </c>
      <c r="D69" s="159" t="s">
        <v>171</v>
      </c>
      <c r="E69" s="160" t="s">
        <v>196</v>
      </c>
    </row>
    <row r="70" spans="1:5" s="87" customFormat="1" x14ac:dyDescent="0.2">
      <c r="A70" s="157">
        <v>44156</v>
      </c>
      <c r="B70" s="158">
        <v>34.5</v>
      </c>
      <c r="C70" s="159" t="s">
        <v>208</v>
      </c>
      <c r="D70" s="159" t="s">
        <v>183</v>
      </c>
      <c r="E70" s="160" t="s">
        <v>178</v>
      </c>
    </row>
    <row r="71" spans="1:5" s="87" customFormat="1" x14ac:dyDescent="0.2">
      <c r="A71" s="157">
        <v>44156</v>
      </c>
      <c r="B71" s="158">
        <v>28</v>
      </c>
      <c r="C71" s="159" t="s">
        <v>208</v>
      </c>
      <c r="D71" s="159" t="s">
        <v>201</v>
      </c>
      <c r="E71" s="160" t="s">
        <v>202</v>
      </c>
    </row>
    <row r="72" spans="1:5" s="87" customFormat="1" x14ac:dyDescent="0.2">
      <c r="A72" s="157"/>
      <c r="B72" s="158"/>
      <c r="C72" s="159"/>
      <c r="D72" s="159"/>
      <c r="E72" s="160"/>
    </row>
    <row r="73" spans="1:5" s="87" customFormat="1" x14ac:dyDescent="0.2">
      <c r="A73" s="157">
        <v>44166</v>
      </c>
      <c r="B73" s="158">
        <f>5.75+560.8</f>
        <v>566.54999999999995</v>
      </c>
      <c r="C73" s="159" t="s">
        <v>205</v>
      </c>
      <c r="D73" s="159" t="s">
        <v>171</v>
      </c>
      <c r="E73" s="160" t="s">
        <v>175</v>
      </c>
    </row>
    <row r="74" spans="1:5" s="87" customFormat="1" x14ac:dyDescent="0.2">
      <c r="A74" s="157">
        <v>44166</v>
      </c>
      <c r="B74" s="158">
        <f>190+6.9</f>
        <v>196.9</v>
      </c>
      <c r="C74" s="159" t="s">
        <v>205</v>
      </c>
      <c r="D74" s="159" t="s">
        <v>172</v>
      </c>
      <c r="E74" s="160" t="s">
        <v>182</v>
      </c>
    </row>
    <row r="75" spans="1:5" s="87" customFormat="1" x14ac:dyDescent="0.2">
      <c r="A75" s="157">
        <v>44166</v>
      </c>
      <c r="B75" s="158">
        <v>45.1</v>
      </c>
      <c r="C75" s="159" t="s">
        <v>205</v>
      </c>
      <c r="D75" s="159" t="s">
        <v>183</v>
      </c>
      <c r="E75" s="160" t="s">
        <v>178</v>
      </c>
    </row>
    <row r="76" spans="1:5" s="87" customFormat="1" x14ac:dyDescent="0.2">
      <c r="A76" s="157">
        <v>44166</v>
      </c>
      <c r="B76" s="158">
        <v>29.5</v>
      </c>
      <c r="C76" s="159" t="s">
        <v>205</v>
      </c>
      <c r="D76" s="159" t="s">
        <v>201</v>
      </c>
      <c r="E76" s="160" t="s">
        <v>182</v>
      </c>
    </row>
    <row r="77" spans="1:5" s="87" customFormat="1" x14ac:dyDescent="0.2">
      <c r="A77" s="157">
        <v>44166</v>
      </c>
      <c r="B77" s="158">
        <v>88.1</v>
      </c>
      <c r="C77" s="159" t="s">
        <v>205</v>
      </c>
      <c r="D77" s="159" t="s">
        <v>183</v>
      </c>
      <c r="E77" s="160" t="s">
        <v>182</v>
      </c>
    </row>
    <row r="78" spans="1:5" s="87" customFormat="1" x14ac:dyDescent="0.2">
      <c r="A78" s="157">
        <v>44167</v>
      </c>
      <c r="B78" s="158">
        <v>82.1</v>
      </c>
      <c r="C78" s="159" t="s">
        <v>205</v>
      </c>
      <c r="D78" s="159" t="s">
        <v>183</v>
      </c>
      <c r="E78" s="160" t="s">
        <v>182</v>
      </c>
    </row>
    <row r="79" spans="1:5" s="87" customFormat="1" x14ac:dyDescent="0.2">
      <c r="A79" s="157">
        <v>44167</v>
      </c>
      <c r="B79" s="158">
        <v>37.700000000000003</v>
      </c>
      <c r="C79" s="159" t="s">
        <v>205</v>
      </c>
      <c r="D79" s="159" t="s">
        <v>183</v>
      </c>
      <c r="E79" s="160" t="s">
        <v>178</v>
      </c>
    </row>
    <row r="80" spans="1:5" s="87" customFormat="1" x14ac:dyDescent="0.2">
      <c r="A80" s="157"/>
      <c r="B80" s="158"/>
      <c r="C80" s="159"/>
      <c r="D80" s="159"/>
      <c r="E80" s="160"/>
    </row>
    <row r="81" spans="1:6" s="87" customFormat="1" x14ac:dyDescent="0.2">
      <c r="A81" s="157">
        <v>44179</v>
      </c>
      <c r="B81" s="158">
        <f>22.54+439.69</f>
        <v>462.23</v>
      </c>
      <c r="C81" s="159" t="s">
        <v>209</v>
      </c>
      <c r="D81" s="159" t="s">
        <v>171</v>
      </c>
      <c r="E81" s="160" t="s">
        <v>197</v>
      </c>
    </row>
    <row r="82" spans="1:6" s="87" customFormat="1" x14ac:dyDescent="0.2">
      <c r="A82" s="157">
        <v>44179</v>
      </c>
      <c r="B82" s="158">
        <v>44.3</v>
      </c>
      <c r="C82" s="159" t="s">
        <v>209</v>
      </c>
      <c r="D82" s="159" t="s">
        <v>183</v>
      </c>
      <c r="E82" s="160" t="s">
        <v>178</v>
      </c>
    </row>
    <row r="83" spans="1:6" s="87" customFormat="1" x14ac:dyDescent="0.2">
      <c r="A83" s="157">
        <v>44181</v>
      </c>
      <c r="B83" s="158">
        <v>34.4</v>
      </c>
      <c r="C83" s="159" t="s">
        <v>209</v>
      </c>
      <c r="D83" s="159" t="s">
        <v>183</v>
      </c>
      <c r="E83" s="160" t="s">
        <v>178</v>
      </c>
    </row>
    <row r="84" spans="1:6" s="87" customFormat="1" x14ac:dyDescent="0.2">
      <c r="A84" s="157"/>
      <c r="B84" s="158"/>
      <c r="C84" s="159"/>
      <c r="D84" s="159"/>
      <c r="E84" s="160"/>
    </row>
    <row r="85" spans="1:6" s="87" customFormat="1" x14ac:dyDescent="0.2">
      <c r="A85" s="157">
        <v>44229</v>
      </c>
      <c r="B85" s="158">
        <f>255.44+22.54+59.34+23</f>
        <v>360.32000000000005</v>
      </c>
      <c r="C85" s="159" t="s">
        <v>222</v>
      </c>
      <c r="D85" s="159" t="s">
        <v>171</v>
      </c>
      <c r="E85" s="160" t="s">
        <v>175</v>
      </c>
    </row>
    <row r="86" spans="1:6" s="87" customFormat="1" x14ac:dyDescent="0.2">
      <c r="A86" s="157">
        <v>44229</v>
      </c>
      <c r="B86" s="158">
        <f>224.5+6.9</f>
        <v>231.4</v>
      </c>
      <c r="C86" s="159" t="s">
        <v>222</v>
      </c>
      <c r="D86" s="159" t="s">
        <v>172</v>
      </c>
      <c r="E86" s="160" t="s">
        <v>182</v>
      </c>
    </row>
    <row r="87" spans="1:6" s="87" customFormat="1" x14ac:dyDescent="0.2">
      <c r="A87" s="157">
        <v>44229</v>
      </c>
      <c r="B87" s="158">
        <v>83.8</v>
      </c>
      <c r="C87" s="159" t="s">
        <v>222</v>
      </c>
      <c r="D87" s="159" t="s">
        <v>183</v>
      </c>
      <c r="E87" s="160" t="s">
        <v>182</v>
      </c>
      <c r="F87" s="176"/>
    </row>
    <row r="88" spans="1:6" s="87" customFormat="1" x14ac:dyDescent="0.2">
      <c r="A88" s="157">
        <v>44229</v>
      </c>
      <c r="B88" s="158">
        <v>47.6</v>
      </c>
      <c r="C88" s="159" t="s">
        <v>222</v>
      </c>
      <c r="D88" s="159" t="s">
        <v>183</v>
      </c>
      <c r="E88" s="160" t="s">
        <v>178</v>
      </c>
      <c r="F88" s="176"/>
    </row>
    <row r="89" spans="1:6" s="87" customFormat="1" x14ac:dyDescent="0.2">
      <c r="A89" s="157">
        <v>44230</v>
      </c>
      <c r="B89" s="158">
        <v>84.9</v>
      </c>
      <c r="C89" s="159" t="s">
        <v>222</v>
      </c>
      <c r="D89" s="159" t="s">
        <v>183</v>
      </c>
      <c r="E89" s="160" t="s">
        <v>182</v>
      </c>
      <c r="F89" s="176"/>
    </row>
    <row r="90" spans="1:6" s="87" customFormat="1" x14ac:dyDescent="0.2">
      <c r="A90" s="157">
        <v>44230</v>
      </c>
      <c r="B90" s="158">
        <v>34.6</v>
      </c>
      <c r="C90" s="159" t="s">
        <v>222</v>
      </c>
      <c r="D90" s="159" t="s">
        <v>183</v>
      </c>
      <c r="E90" s="160" t="s">
        <v>178</v>
      </c>
      <c r="F90" s="176"/>
    </row>
    <row r="91" spans="1:6" s="87" customFormat="1" x14ac:dyDescent="0.2">
      <c r="A91" s="157"/>
      <c r="B91" s="158"/>
      <c r="C91" s="159"/>
      <c r="D91" s="159"/>
      <c r="E91" s="160"/>
      <c r="F91" s="176"/>
    </row>
    <row r="92" spans="1:6" s="87" customFormat="1" x14ac:dyDescent="0.2">
      <c r="A92" s="157">
        <v>44252</v>
      </c>
      <c r="B92" s="158">
        <f>602.62+50+23-652.62</f>
        <v>23</v>
      </c>
      <c r="C92" s="159" t="s">
        <v>188</v>
      </c>
      <c r="D92" s="159" t="s">
        <v>238</v>
      </c>
      <c r="E92" s="160" t="s">
        <v>175</v>
      </c>
    </row>
    <row r="93" spans="1:6" s="87" customFormat="1" x14ac:dyDescent="0.2">
      <c r="A93" s="157"/>
      <c r="B93" s="158"/>
      <c r="C93" s="159"/>
      <c r="D93" s="159"/>
      <c r="E93" s="160"/>
    </row>
    <row r="94" spans="1:6" s="87" customFormat="1" x14ac:dyDescent="0.2">
      <c r="A94" s="157">
        <v>44270</v>
      </c>
      <c r="B94" s="158">
        <f>325.16+28.75-325.16+23+11.5</f>
        <v>63.25</v>
      </c>
      <c r="C94" s="159" t="s">
        <v>224</v>
      </c>
      <c r="D94" s="159" t="s">
        <v>238</v>
      </c>
      <c r="E94" s="160" t="s">
        <v>175</v>
      </c>
    </row>
    <row r="95" spans="1:6" s="87" customFormat="1" x14ac:dyDescent="0.2">
      <c r="A95" s="157"/>
      <c r="B95" s="158"/>
      <c r="C95" s="159"/>
      <c r="D95" s="159"/>
      <c r="E95" s="160"/>
    </row>
    <row r="96" spans="1:6" s="87" customFormat="1" x14ac:dyDescent="0.2">
      <c r="A96" s="157">
        <v>44278</v>
      </c>
      <c r="B96" s="158">
        <f>677.05+28.75+23</f>
        <v>728.8</v>
      </c>
      <c r="C96" s="159" t="s">
        <v>205</v>
      </c>
      <c r="D96" s="159" t="s">
        <v>171</v>
      </c>
      <c r="E96" s="160" t="s">
        <v>175</v>
      </c>
    </row>
    <row r="97" spans="1:6" s="87" customFormat="1" x14ac:dyDescent="0.2">
      <c r="A97" s="157">
        <v>44278</v>
      </c>
      <c r="B97" s="158">
        <v>35.4</v>
      </c>
      <c r="C97" s="159" t="s">
        <v>205</v>
      </c>
      <c r="D97" s="159" t="s">
        <v>183</v>
      </c>
      <c r="E97" s="160" t="s">
        <v>178</v>
      </c>
      <c r="F97" s="176"/>
    </row>
    <row r="98" spans="1:6" s="87" customFormat="1" x14ac:dyDescent="0.2">
      <c r="A98" s="157">
        <v>44278</v>
      </c>
      <c r="B98" s="158">
        <v>32</v>
      </c>
      <c r="C98" s="159" t="s">
        <v>205</v>
      </c>
      <c r="D98" s="159" t="s">
        <v>183</v>
      </c>
      <c r="E98" s="160" t="s">
        <v>182</v>
      </c>
      <c r="F98" s="176"/>
    </row>
    <row r="99" spans="1:6" s="87" customFormat="1" x14ac:dyDescent="0.2">
      <c r="A99" s="157">
        <v>44278</v>
      </c>
      <c r="B99" s="158">
        <v>32.5</v>
      </c>
      <c r="C99" s="159" t="s">
        <v>205</v>
      </c>
      <c r="D99" s="159" t="s">
        <v>183</v>
      </c>
      <c r="E99" s="160" t="s">
        <v>182</v>
      </c>
      <c r="F99" s="176"/>
    </row>
    <row r="100" spans="1:6" s="87" customFormat="1" x14ac:dyDescent="0.2">
      <c r="A100" s="157">
        <v>44278</v>
      </c>
      <c r="B100" s="158">
        <v>33.6</v>
      </c>
      <c r="C100" s="159" t="s">
        <v>205</v>
      </c>
      <c r="D100" s="159" t="s">
        <v>183</v>
      </c>
      <c r="E100" s="160" t="s">
        <v>178</v>
      </c>
      <c r="F100" s="176"/>
    </row>
    <row r="101" spans="1:6" s="87" customFormat="1" x14ac:dyDescent="0.2">
      <c r="A101" s="157"/>
      <c r="B101" s="158"/>
      <c r="C101" s="159"/>
      <c r="D101" s="159"/>
      <c r="E101" s="160"/>
    </row>
    <row r="102" spans="1:6" s="87" customFormat="1" x14ac:dyDescent="0.2">
      <c r="A102" s="157">
        <v>44284</v>
      </c>
      <c r="B102" s="158">
        <f>358.09+28.75+23-358.09</f>
        <v>51.75</v>
      </c>
      <c r="C102" s="159" t="s">
        <v>223</v>
      </c>
      <c r="D102" s="159" t="s">
        <v>238</v>
      </c>
      <c r="E102" s="160" t="s">
        <v>221</v>
      </c>
    </row>
    <row r="103" spans="1:6" s="87" customFormat="1" x14ac:dyDescent="0.2">
      <c r="A103" s="157"/>
      <c r="B103" s="158"/>
      <c r="C103" s="159"/>
      <c r="D103" s="159"/>
      <c r="E103" s="160"/>
    </row>
    <row r="104" spans="1:6" s="87" customFormat="1" x14ac:dyDescent="0.2">
      <c r="A104" s="157"/>
      <c r="B104" s="158"/>
      <c r="C104" s="159"/>
      <c r="D104" s="159"/>
      <c r="E104" s="160"/>
    </row>
    <row r="105" spans="1:6" s="87" customFormat="1" x14ac:dyDescent="0.2">
      <c r="A105" s="157">
        <v>44300</v>
      </c>
      <c r="B105" s="158">
        <f>284.13</f>
        <v>284.13</v>
      </c>
      <c r="C105" s="159" t="s">
        <v>226</v>
      </c>
      <c r="D105" s="159" t="s">
        <v>171</v>
      </c>
      <c r="E105" s="160" t="s">
        <v>175</v>
      </c>
    </row>
    <row r="106" spans="1:6" s="87" customFormat="1" x14ac:dyDescent="0.2">
      <c r="A106" s="157">
        <v>44300</v>
      </c>
      <c r="B106" s="158">
        <f>416.78+6.9</f>
        <v>423.67999999999995</v>
      </c>
      <c r="C106" s="159" t="s">
        <v>226</v>
      </c>
      <c r="D106" s="159" t="s">
        <v>172</v>
      </c>
      <c r="E106" s="160" t="s">
        <v>182</v>
      </c>
    </row>
    <row r="107" spans="1:6" s="87" customFormat="1" x14ac:dyDescent="0.2">
      <c r="A107" s="157">
        <v>44300</v>
      </c>
      <c r="B107" s="158">
        <v>37.799999999999997</v>
      </c>
      <c r="C107" s="159" t="s">
        <v>226</v>
      </c>
      <c r="D107" s="159" t="s">
        <v>183</v>
      </c>
      <c r="E107" s="160" t="s">
        <v>182</v>
      </c>
    </row>
    <row r="108" spans="1:6" s="87" customFormat="1" x14ac:dyDescent="0.2">
      <c r="A108" s="157">
        <v>44300</v>
      </c>
      <c r="B108" s="158">
        <v>49</v>
      </c>
      <c r="C108" s="159" t="s">
        <v>226</v>
      </c>
      <c r="D108" s="159" t="s">
        <v>183</v>
      </c>
      <c r="E108" s="160" t="s">
        <v>178</v>
      </c>
    </row>
    <row r="109" spans="1:6" s="87" customFormat="1" x14ac:dyDescent="0.2">
      <c r="A109" s="157">
        <v>44300</v>
      </c>
      <c r="B109" s="158">
        <v>80.7</v>
      </c>
      <c r="C109" s="159" t="s">
        <v>226</v>
      </c>
      <c r="D109" s="159" t="s">
        <v>183</v>
      </c>
      <c r="E109" s="160" t="s">
        <v>182</v>
      </c>
    </row>
    <row r="110" spans="1:6" s="87" customFormat="1" x14ac:dyDescent="0.2">
      <c r="A110" s="157">
        <v>44302</v>
      </c>
      <c r="B110" s="158">
        <v>65.099999999999994</v>
      </c>
      <c r="C110" s="159" t="s">
        <v>226</v>
      </c>
      <c r="D110" s="159" t="s">
        <v>183</v>
      </c>
      <c r="E110" s="160" t="s">
        <v>182</v>
      </c>
    </row>
    <row r="111" spans="1:6" s="87" customFormat="1" x14ac:dyDescent="0.2">
      <c r="A111" s="157">
        <v>44302</v>
      </c>
      <c r="B111" s="158">
        <v>130.9</v>
      </c>
      <c r="C111" s="159" t="s">
        <v>226</v>
      </c>
      <c r="D111" s="159" t="s">
        <v>183</v>
      </c>
      <c r="E111" s="160" t="s">
        <v>182</v>
      </c>
    </row>
    <row r="112" spans="1:6" s="87" customFormat="1" x14ac:dyDescent="0.2">
      <c r="A112" s="157"/>
      <c r="B112" s="158"/>
      <c r="C112" s="159"/>
      <c r="D112" s="159"/>
      <c r="E112" s="160"/>
    </row>
    <row r="113" spans="1:5" s="87" customFormat="1" x14ac:dyDescent="0.2">
      <c r="A113" s="157">
        <v>44302</v>
      </c>
      <c r="B113" s="158">
        <f>172.96+22.54+23-172.96</f>
        <v>45.539999999999992</v>
      </c>
      <c r="C113" s="159" t="s">
        <v>228</v>
      </c>
      <c r="D113" s="159" t="s">
        <v>236</v>
      </c>
      <c r="E113" s="160" t="s">
        <v>200</v>
      </c>
    </row>
    <row r="114" spans="1:5" s="87" customFormat="1" x14ac:dyDescent="0.2">
      <c r="A114" s="157"/>
      <c r="B114" s="158"/>
      <c r="C114" s="159"/>
      <c r="D114" s="159"/>
      <c r="E114" s="160"/>
    </row>
    <row r="115" spans="1:5" s="87" customFormat="1" x14ac:dyDescent="0.2">
      <c r="A115" s="157">
        <v>44314</v>
      </c>
      <c r="B115" s="158">
        <f>380.17</f>
        <v>380.17</v>
      </c>
      <c r="C115" s="159" t="s">
        <v>227</v>
      </c>
      <c r="D115" s="159" t="s">
        <v>171</v>
      </c>
      <c r="E115" s="160" t="s">
        <v>175</v>
      </c>
    </row>
    <row r="116" spans="1:5" s="87" customFormat="1" x14ac:dyDescent="0.2">
      <c r="A116" s="157">
        <v>44314</v>
      </c>
      <c r="B116" s="158">
        <f>223.8+6.9</f>
        <v>230.70000000000002</v>
      </c>
      <c r="C116" s="159" t="s">
        <v>227</v>
      </c>
      <c r="D116" s="159" t="s">
        <v>172</v>
      </c>
      <c r="E116" s="160" t="s">
        <v>182</v>
      </c>
    </row>
    <row r="117" spans="1:5" s="87" customFormat="1" x14ac:dyDescent="0.2">
      <c r="A117" s="157">
        <v>44314</v>
      </c>
      <c r="B117" s="158">
        <v>89.5</v>
      </c>
      <c r="C117" s="159" t="s">
        <v>227</v>
      </c>
      <c r="D117" s="159" t="s">
        <v>183</v>
      </c>
      <c r="E117" s="160" t="s">
        <v>182</v>
      </c>
    </row>
    <row r="118" spans="1:5" s="87" customFormat="1" x14ac:dyDescent="0.2">
      <c r="A118" s="157">
        <v>44314</v>
      </c>
      <c r="B118" s="158">
        <v>40.5</v>
      </c>
      <c r="C118" s="159" t="s">
        <v>227</v>
      </c>
      <c r="D118" s="159" t="s">
        <v>183</v>
      </c>
      <c r="E118" s="160" t="s">
        <v>178</v>
      </c>
    </row>
    <row r="119" spans="1:5" s="87" customFormat="1" x14ac:dyDescent="0.2">
      <c r="A119" s="157">
        <v>44315</v>
      </c>
      <c r="B119" s="158">
        <v>46</v>
      </c>
      <c r="C119" s="159" t="s">
        <v>227</v>
      </c>
      <c r="D119" s="159" t="s">
        <v>183</v>
      </c>
      <c r="E119" s="160" t="s">
        <v>178</v>
      </c>
    </row>
    <row r="120" spans="1:5" s="87" customFormat="1" x14ac:dyDescent="0.2">
      <c r="A120" s="157">
        <v>44315</v>
      </c>
      <c r="B120" s="158">
        <v>83.5</v>
      </c>
      <c r="C120" s="159" t="s">
        <v>227</v>
      </c>
      <c r="D120" s="159" t="s">
        <v>183</v>
      </c>
      <c r="E120" s="160" t="s">
        <v>182</v>
      </c>
    </row>
    <row r="121" spans="1:5" s="87" customFormat="1" x14ac:dyDescent="0.2">
      <c r="A121" s="157"/>
      <c r="B121" s="158"/>
      <c r="C121" s="159"/>
      <c r="D121" s="159"/>
      <c r="E121" s="160"/>
    </row>
    <row r="122" spans="1:5" s="87" customFormat="1" x14ac:dyDescent="0.2">
      <c r="A122" s="157">
        <v>44337</v>
      </c>
      <c r="B122" s="158">
        <f>244.8</f>
        <v>244.8</v>
      </c>
      <c r="C122" s="159" t="s">
        <v>188</v>
      </c>
      <c r="D122" s="159" t="s">
        <v>171</v>
      </c>
      <c r="E122" s="160" t="s">
        <v>196</v>
      </c>
    </row>
    <row r="123" spans="1:5" s="87" customFormat="1" x14ac:dyDescent="0.2">
      <c r="A123" s="157">
        <v>44337</v>
      </c>
      <c r="B123" s="158">
        <v>47.4</v>
      </c>
      <c r="C123" s="159" t="s">
        <v>188</v>
      </c>
      <c r="D123" s="159" t="s">
        <v>183</v>
      </c>
      <c r="E123" s="160" t="s">
        <v>202</v>
      </c>
    </row>
    <row r="124" spans="1:5" s="87" customFormat="1" x14ac:dyDescent="0.2">
      <c r="A124" s="157">
        <v>44337</v>
      </c>
      <c r="B124" s="158">
        <v>32.799999999999997</v>
      </c>
      <c r="C124" s="159" t="s">
        <v>188</v>
      </c>
      <c r="D124" s="159" t="s">
        <v>183</v>
      </c>
      <c r="E124" s="160" t="s">
        <v>178</v>
      </c>
    </row>
    <row r="125" spans="1:5" s="87" customFormat="1" x14ac:dyDescent="0.2">
      <c r="A125" s="157">
        <v>44340</v>
      </c>
      <c r="B125" s="158">
        <v>57.8</v>
      </c>
      <c r="C125" s="159" t="s">
        <v>188</v>
      </c>
      <c r="D125" s="159" t="s">
        <v>183</v>
      </c>
      <c r="E125" s="160" t="s">
        <v>202</v>
      </c>
    </row>
    <row r="126" spans="1:5" s="87" customFormat="1" x14ac:dyDescent="0.2">
      <c r="A126" s="157">
        <v>44340</v>
      </c>
      <c r="B126" s="158">
        <v>32.700000000000003</v>
      </c>
      <c r="C126" s="159" t="s">
        <v>188</v>
      </c>
      <c r="D126" s="159" t="s">
        <v>183</v>
      </c>
      <c r="E126" s="160" t="s">
        <v>178</v>
      </c>
    </row>
    <row r="127" spans="1:5" s="87" customFormat="1" x14ac:dyDescent="0.2">
      <c r="A127" s="157"/>
      <c r="B127" s="158"/>
      <c r="C127" s="159"/>
      <c r="D127" s="159"/>
      <c r="E127" s="160"/>
    </row>
    <row r="128" spans="1:5" s="87" customFormat="1" ht="25.5" x14ac:dyDescent="0.2">
      <c r="A128" s="157">
        <v>44340</v>
      </c>
      <c r="B128" s="158">
        <f>312.54</f>
        <v>312.54000000000002</v>
      </c>
      <c r="C128" s="159" t="s">
        <v>226</v>
      </c>
      <c r="D128" s="159" t="s">
        <v>171</v>
      </c>
      <c r="E128" s="160" t="s">
        <v>237</v>
      </c>
    </row>
    <row r="129" spans="1:5" s="87" customFormat="1" x14ac:dyDescent="0.2">
      <c r="A129" s="157">
        <v>44340</v>
      </c>
      <c r="B129" s="158">
        <v>35.299999999999997</v>
      </c>
      <c r="C129" s="159" t="s">
        <v>226</v>
      </c>
      <c r="D129" s="159" t="s">
        <v>183</v>
      </c>
      <c r="E129" s="160" t="s">
        <v>178</v>
      </c>
    </row>
    <row r="130" spans="1:5" s="87" customFormat="1" x14ac:dyDescent="0.2">
      <c r="A130" s="157">
        <v>44341</v>
      </c>
      <c r="B130" s="158">
        <v>84.9</v>
      </c>
      <c r="C130" s="159" t="s">
        <v>226</v>
      </c>
      <c r="D130" s="159" t="s">
        <v>183</v>
      </c>
      <c r="E130" s="160" t="s">
        <v>182</v>
      </c>
    </row>
    <row r="131" spans="1:5" s="87" customFormat="1" x14ac:dyDescent="0.2">
      <c r="A131" s="157">
        <v>44341</v>
      </c>
      <c r="B131" s="158">
        <v>11</v>
      </c>
      <c r="C131" s="159" t="s">
        <v>226</v>
      </c>
      <c r="D131" s="159" t="s">
        <v>201</v>
      </c>
      <c r="E131" s="160" t="s">
        <v>182</v>
      </c>
    </row>
    <row r="132" spans="1:5" s="87" customFormat="1" x14ac:dyDescent="0.2">
      <c r="A132" s="157">
        <v>44341</v>
      </c>
      <c r="B132" s="158">
        <v>23.9</v>
      </c>
      <c r="C132" s="159" t="s">
        <v>226</v>
      </c>
      <c r="D132" s="159" t="s">
        <v>183</v>
      </c>
      <c r="E132" s="160" t="s">
        <v>182</v>
      </c>
    </row>
    <row r="133" spans="1:5" s="87" customFormat="1" x14ac:dyDescent="0.2">
      <c r="A133" s="157">
        <v>44341</v>
      </c>
      <c r="B133" s="158">
        <v>19.2</v>
      </c>
      <c r="C133" s="159" t="s">
        <v>226</v>
      </c>
      <c r="D133" s="159" t="s">
        <v>183</v>
      </c>
      <c r="E133" s="160" t="s">
        <v>182</v>
      </c>
    </row>
    <row r="134" spans="1:5" s="87" customFormat="1" x14ac:dyDescent="0.2">
      <c r="A134" s="157">
        <v>44341</v>
      </c>
      <c r="B134" s="158">
        <v>21.6</v>
      </c>
      <c r="C134" s="159" t="s">
        <v>226</v>
      </c>
      <c r="D134" s="159" t="s">
        <v>231</v>
      </c>
      <c r="E134" s="160" t="s">
        <v>182</v>
      </c>
    </row>
    <row r="135" spans="1:5" s="87" customFormat="1" x14ac:dyDescent="0.2">
      <c r="A135" s="157">
        <v>44341</v>
      </c>
      <c r="B135" s="158">
        <f>97.05+6.9</f>
        <v>103.95</v>
      </c>
      <c r="C135" s="159" t="s">
        <v>226</v>
      </c>
      <c r="D135" s="159" t="s">
        <v>240</v>
      </c>
      <c r="E135" s="160" t="s">
        <v>182</v>
      </c>
    </row>
    <row r="136" spans="1:5" s="87" customFormat="1" x14ac:dyDescent="0.2">
      <c r="A136" s="157">
        <v>44342</v>
      </c>
      <c r="B136" s="158">
        <v>39.200000000000003</v>
      </c>
      <c r="C136" s="159" t="s">
        <v>226</v>
      </c>
      <c r="D136" s="159" t="s">
        <v>183</v>
      </c>
      <c r="E136" s="160" t="s">
        <v>178</v>
      </c>
    </row>
    <row r="137" spans="1:5" s="87" customFormat="1" x14ac:dyDescent="0.2">
      <c r="A137" s="157"/>
      <c r="B137" s="158"/>
      <c r="C137" s="159"/>
      <c r="D137" s="159"/>
      <c r="E137" s="160"/>
    </row>
    <row r="138" spans="1:5" s="87" customFormat="1" x14ac:dyDescent="0.2">
      <c r="A138" s="157">
        <v>44347</v>
      </c>
      <c r="B138" s="158">
        <f>416.63+16.1+23</f>
        <v>455.73</v>
      </c>
      <c r="C138" s="159" t="s">
        <v>232</v>
      </c>
      <c r="D138" s="159" t="s">
        <v>171</v>
      </c>
      <c r="E138" s="160" t="s">
        <v>175</v>
      </c>
    </row>
    <row r="139" spans="1:5" s="87" customFormat="1" x14ac:dyDescent="0.2">
      <c r="A139" s="157">
        <v>44347</v>
      </c>
      <c r="B139" s="158">
        <v>85.6</v>
      </c>
      <c r="C139" s="159" t="s">
        <v>232</v>
      </c>
      <c r="D139" s="159" t="s">
        <v>183</v>
      </c>
      <c r="E139" s="160" t="s">
        <v>182</v>
      </c>
    </row>
    <row r="140" spans="1:5" s="87" customFormat="1" x14ac:dyDescent="0.2">
      <c r="A140" s="157">
        <v>44347</v>
      </c>
      <c r="B140" s="158">
        <v>34</v>
      </c>
      <c r="C140" s="159" t="s">
        <v>232</v>
      </c>
      <c r="D140" s="159" t="s">
        <v>183</v>
      </c>
      <c r="E140" s="160" t="s">
        <v>178</v>
      </c>
    </row>
    <row r="141" spans="1:5" s="87" customFormat="1" x14ac:dyDescent="0.2">
      <c r="A141" s="157"/>
      <c r="B141" s="158"/>
      <c r="C141" s="159"/>
      <c r="D141" s="159"/>
      <c r="E141" s="160"/>
    </row>
    <row r="142" spans="1:5" s="87" customFormat="1" x14ac:dyDescent="0.2">
      <c r="A142" s="157">
        <v>44349</v>
      </c>
      <c r="B142" s="158">
        <v>22.5</v>
      </c>
      <c r="C142" s="159" t="s">
        <v>233</v>
      </c>
      <c r="D142" s="159" t="s">
        <v>183</v>
      </c>
      <c r="E142" s="160" t="s">
        <v>182</v>
      </c>
    </row>
    <row r="143" spans="1:5" s="87" customFormat="1" x14ac:dyDescent="0.2">
      <c r="A143" s="157">
        <v>44349</v>
      </c>
      <c r="B143" s="158">
        <v>81.5</v>
      </c>
      <c r="C143" s="159" t="s">
        <v>233</v>
      </c>
      <c r="D143" s="159" t="s">
        <v>183</v>
      </c>
      <c r="E143" s="160" t="s">
        <v>182</v>
      </c>
    </row>
    <row r="144" spans="1:5" s="87" customFormat="1" x14ac:dyDescent="0.2">
      <c r="A144" s="157">
        <v>44349</v>
      </c>
      <c r="B144" s="158">
        <v>41.6</v>
      </c>
      <c r="C144" s="159" t="s">
        <v>233</v>
      </c>
      <c r="D144" s="159" t="s">
        <v>183</v>
      </c>
      <c r="E144" s="160" t="s">
        <v>178</v>
      </c>
    </row>
    <row r="145" spans="1:6" s="87" customFormat="1" x14ac:dyDescent="0.2">
      <c r="A145" s="157"/>
      <c r="B145" s="158"/>
      <c r="C145" s="159"/>
      <c r="D145" s="159"/>
      <c r="E145" s="160"/>
    </row>
    <row r="146" spans="1:6" s="87" customFormat="1" x14ac:dyDescent="0.2">
      <c r="A146" s="157">
        <v>44357</v>
      </c>
      <c r="B146" s="158">
        <f>535.67</f>
        <v>535.66999999999996</v>
      </c>
      <c r="C146" s="159" t="s">
        <v>232</v>
      </c>
      <c r="D146" s="159" t="s">
        <v>171</v>
      </c>
      <c r="E146" s="160" t="s">
        <v>175</v>
      </c>
    </row>
    <row r="147" spans="1:6" s="87" customFormat="1" x14ac:dyDescent="0.2">
      <c r="A147" s="157">
        <v>44357</v>
      </c>
      <c r="B147" s="158">
        <v>82.9</v>
      </c>
      <c r="C147" s="159" t="s">
        <v>232</v>
      </c>
      <c r="D147" s="159" t="s">
        <v>183</v>
      </c>
      <c r="E147" s="160" t="s">
        <v>182</v>
      </c>
    </row>
    <row r="148" spans="1:6" s="87" customFormat="1" x14ac:dyDescent="0.2">
      <c r="A148" s="157">
        <v>44358</v>
      </c>
      <c r="B148" s="158">
        <v>66.599999999999994</v>
      </c>
      <c r="C148" s="159" t="s">
        <v>232</v>
      </c>
      <c r="D148" s="159" t="s">
        <v>183</v>
      </c>
      <c r="E148" s="160" t="s">
        <v>182</v>
      </c>
    </row>
    <row r="149" spans="1:6" s="87" customFormat="1" x14ac:dyDescent="0.2">
      <c r="A149" s="157">
        <v>44358</v>
      </c>
      <c r="B149" s="158">
        <v>36.299999999999997</v>
      </c>
      <c r="C149" s="159" t="s">
        <v>232</v>
      </c>
      <c r="D149" s="159" t="s">
        <v>183</v>
      </c>
      <c r="E149" s="160" t="s">
        <v>178</v>
      </c>
    </row>
    <row r="150" spans="1:6" s="87" customFormat="1" x14ac:dyDescent="0.2">
      <c r="A150" s="157"/>
      <c r="B150" s="158"/>
      <c r="C150" s="159"/>
      <c r="D150" s="159"/>
      <c r="E150" s="160"/>
    </row>
    <row r="151" spans="1:6" s="87" customFormat="1" x14ac:dyDescent="0.2">
      <c r="A151" s="157">
        <v>44363</v>
      </c>
      <c r="B151" s="158">
        <f>568.41</f>
        <v>568.41</v>
      </c>
      <c r="C151" s="159" t="s">
        <v>234</v>
      </c>
      <c r="D151" s="159" t="s">
        <v>171</v>
      </c>
      <c r="E151" s="160" t="s">
        <v>239</v>
      </c>
    </row>
    <row r="152" spans="1:6" s="87" customFormat="1" x14ac:dyDescent="0.2">
      <c r="A152" s="157">
        <v>44363</v>
      </c>
      <c r="B152" s="158">
        <v>31.3</v>
      </c>
      <c r="C152" s="159" t="s">
        <v>234</v>
      </c>
      <c r="D152" s="159" t="s">
        <v>183</v>
      </c>
      <c r="E152" s="160" t="s">
        <v>178</v>
      </c>
    </row>
    <row r="153" spans="1:6" s="87" customFormat="1" x14ac:dyDescent="0.2">
      <c r="A153" s="157">
        <v>44363</v>
      </c>
      <c r="B153" s="158">
        <v>27.5</v>
      </c>
      <c r="C153" s="159" t="s">
        <v>234</v>
      </c>
      <c r="D153" s="159" t="s">
        <v>183</v>
      </c>
      <c r="E153" s="160" t="s">
        <v>235</v>
      </c>
    </row>
    <row r="154" spans="1:6" s="87" customFormat="1" x14ac:dyDescent="0.2">
      <c r="A154" s="157">
        <v>44363</v>
      </c>
      <c r="B154" s="158">
        <v>41.8</v>
      </c>
      <c r="C154" s="159" t="s">
        <v>234</v>
      </c>
      <c r="D154" s="159" t="s">
        <v>183</v>
      </c>
      <c r="E154" s="160" t="s">
        <v>178</v>
      </c>
    </row>
    <row r="155" spans="1:6" s="87" customFormat="1" x14ac:dyDescent="0.2">
      <c r="A155" s="157"/>
      <c r="B155" s="158"/>
      <c r="C155" s="159"/>
      <c r="D155" s="159"/>
      <c r="E155" s="160"/>
      <c r="F155" s="1"/>
    </row>
    <row r="156" spans="1:6" s="87" customFormat="1" x14ac:dyDescent="0.2">
      <c r="A156" s="147"/>
      <c r="B156" s="148"/>
      <c r="C156" s="149"/>
      <c r="D156" s="149"/>
      <c r="E156" s="150"/>
      <c r="F156" s="1"/>
    </row>
    <row r="157" spans="1:6" ht="19.5" customHeight="1" x14ac:dyDescent="0.2">
      <c r="A157" s="107" t="s">
        <v>125</v>
      </c>
      <c r="B157" s="108">
        <f>SUM(B26:B156)</f>
        <v>16007.9</v>
      </c>
      <c r="C157" s="168" t="str">
        <f>IF(SUBTOTAL(3,B26:B156)=SUBTOTAL(103,B26:B156),'Summary and sign-off'!$A$48,'Summary and sign-off'!$A$49)</f>
        <v>Check - there are no hidden rows with data</v>
      </c>
      <c r="D157" s="187" t="str">
        <f>IF('Summary and sign-off'!F56='Summary and sign-off'!F54,'Summary and sign-off'!A51,'Summary and sign-off'!A50)</f>
        <v>Check - each entry provides sufficient information</v>
      </c>
      <c r="E157" s="187"/>
      <c r="F157" s="46"/>
    </row>
    <row r="158" spans="1:6" ht="10.5" customHeight="1" x14ac:dyDescent="0.2">
      <c r="A158" s="27"/>
      <c r="B158" s="22"/>
      <c r="C158" s="27"/>
      <c r="D158" s="27"/>
      <c r="E158" s="27"/>
      <c r="F158" s="27"/>
    </row>
    <row r="159" spans="1:6" ht="24.75" customHeight="1" x14ac:dyDescent="0.2">
      <c r="A159" s="188" t="s">
        <v>126</v>
      </c>
      <c r="B159" s="188"/>
      <c r="C159" s="188"/>
      <c r="D159" s="188"/>
      <c r="E159" s="188"/>
      <c r="F159" s="46"/>
    </row>
    <row r="160" spans="1:6" ht="27" customHeight="1" x14ac:dyDescent="0.2">
      <c r="A160" s="35" t="s">
        <v>117</v>
      </c>
      <c r="B160" s="35" t="s">
        <v>62</v>
      </c>
      <c r="C160" s="35" t="s">
        <v>127</v>
      </c>
      <c r="D160" s="35" t="s">
        <v>128</v>
      </c>
      <c r="E160" s="35" t="s">
        <v>121</v>
      </c>
      <c r="F160" s="49"/>
    </row>
    <row r="161" spans="1:6" s="87" customFormat="1" hidden="1" x14ac:dyDescent="0.2">
      <c r="A161" s="133"/>
      <c r="B161" s="134"/>
      <c r="C161" s="135"/>
      <c r="D161" s="135"/>
      <c r="E161" s="136"/>
      <c r="F161" s="1"/>
    </row>
    <row r="162" spans="1:6" s="87" customFormat="1" x14ac:dyDescent="0.2">
      <c r="A162" s="157">
        <v>44081</v>
      </c>
      <c r="B162" s="158">
        <v>82.3</v>
      </c>
      <c r="C162" s="159" t="s">
        <v>190</v>
      </c>
      <c r="D162" s="159" t="s">
        <v>183</v>
      </c>
      <c r="E162" s="160" t="s">
        <v>178</v>
      </c>
      <c r="F162" s="1"/>
    </row>
    <row r="163" spans="1:6" s="87" customFormat="1" x14ac:dyDescent="0.2">
      <c r="A163" s="157">
        <v>44085</v>
      </c>
      <c r="B163" s="158">
        <v>22.2</v>
      </c>
      <c r="C163" s="159" t="s">
        <v>184</v>
      </c>
      <c r="D163" s="159" t="s">
        <v>183</v>
      </c>
      <c r="E163" s="160" t="s">
        <v>178</v>
      </c>
      <c r="F163" s="170"/>
    </row>
    <row r="164" spans="1:6" s="87" customFormat="1" x14ac:dyDescent="0.2">
      <c r="A164" s="157">
        <v>44295</v>
      </c>
      <c r="B164" s="158">
        <v>82.3</v>
      </c>
      <c r="C164" s="159" t="s">
        <v>225</v>
      </c>
      <c r="D164" s="159" t="s">
        <v>183</v>
      </c>
      <c r="E164" s="160" t="s">
        <v>178</v>
      </c>
      <c r="F164" s="1"/>
    </row>
    <row r="165" spans="1:6" s="87" customFormat="1" x14ac:dyDescent="0.2">
      <c r="A165" s="157"/>
      <c r="B165" s="158"/>
      <c r="C165" s="159"/>
      <c r="D165" s="159"/>
      <c r="E165" s="160"/>
      <c r="F165" s="1"/>
    </row>
    <row r="166" spans="1:6" s="87" customFormat="1" x14ac:dyDescent="0.2">
      <c r="A166" s="157"/>
      <c r="B166" s="158"/>
      <c r="C166" s="159"/>
      <c r="D166" s="159"/>
      <c r="E166" s="160"/>
      <c r="F166" s="1"/>
    </row>
    <row r="167" spans="1:6" s="87" customFormat="1" x14ac:dyDescent="0.2">
      <c r="A167" s="157"/>
      <c r="B167" s="158"/>
      <c r="C167" s="159"/>
      <c r="D167" s="159"/>
      <c r="E167" s="160"/>
      <c r="F167" s="1"/>
    </row>
    <row r="168" spans="1:6" s="87" customFormat="1" x14ac:dyDescent="0.2">
      <c r="A168" s="157"/>
      <c r="B168" s="158"/>
      <c r="C168" s="159"/>
      <c r="D168" s="159"/>
      <c r="E168" s="160"/>
      <c r="F168" s="1"/>
    </row>
    <row r="169" spans="1:6" s="87" customFormat="1" x14ac:dyDescent="0.2">
      <c r="A169" s="157"/>
      <c r="B169" s="158"/>
      <c r="C169" s="159"/>
      <c r="D169" s="159"/>
      <c r="E169" s="160"/>
      <c r="F169" s="1"/>
    </row>
    <row r="170" spans="1:6" s="87" customFormat="1" hidden="1" x14ac:dyDescent="0.2">
      <c r="A170" s="133"/>
      <c r="B170" s="134"/>
      <c r="C170" s="135"/>
      <c r="D170" s="135"/>
      <c r="E170" s="136"/>
      <c r="F170" s="1"/>
    </row>
    <row r="171" spans="1:6" ht="19.5" customHeight="1" x14ac:dyDescent="0.2">
      <c r="A171" s="107" t="s">
        <v>129</v>
      </c>
      <c r="B171" s="108">
        <f>SUM(B161:B170)</f>
        <v>186.8</v>
      </c>
      <c r="C171" s="168" t="str">
        <f>IF(SUBTOTAL(3,B161:B170)=SUBTOTAL(103,B161:B170),'Summary and sign-off'!$A$48,'Summary and sign-off'!$A$49)</f>
        <v>Check - there are no hidden rows with data</v>
      </c>
      <c r="D171" s="187" t="str">
        <f>IF('Summary and sign-off'!F57='Summary and sign-off'!F54,'Summary and sign-off'!A51,'Summary and sign-off'!A50)</f>
        <v>Check - each entry provides sufficient information</v>
      </c>
      <c r="E171" s="187"/>
      <c r="F171" s="46"/>
    </row>
    <row r="172" spans="1:6" ht="10.5" customHeight="1" x14ac:dyDescent="0.2">
      <c r="A172" s="27"/>
      <c r="B172" s="92"/>
      <c r="C172" s="22"/>
      <c r="D172" s="27"/>
      <c r="E172" s="27"/>
      <c r="F172" s="27"/>
    </row>
    <row r="173" spans="1:6" ht="34.5" customHeight="1" x14ac:dyDescent="0.2">
      <c r="A173" s="50" t="s">
        <v>130</v>
      </c>
      <c r="B173" s="93">
        <f>B22+B157+B171</f>
        <v>16194.699999999999</v>
      </c>
      <c r="C173" s="51"/>
      <c r="D173" s="51"/>
      <c r="E173" s="51"/>
      <c r="F173" s="26"/>
    </row>
    <row r="174" spans="1:6" x14ac:dyDescent="0.2">
      <c r="A174" s="27"/>
      <c r="B174" s="22"/>
      <c r="C174" s="27"/>
      <c r="D174" s="27"/>
      <c r="E174" s="27"/>
      <c r="F174" s="27"/>
    </row>
    <row r="175" spans="1:6" x14ac:dyDescent="0.2">
      <c r="A175" s="52" t="s">
        <v>73</v>
      </c>
      <c r="B175" s="25"/>
      <c r="C175" s="26"/>
      <c r="D175" s="26"/>
      <c r="E175" s="26"/>
      <c r="F175" s="27"/>
    </row>
    <row r="176" spans="1:6" ht="12.6" customHeight="1" x14ac:dyDescent="0.2">
      <c r="A176" s="23" t="s">
        <v>131</v>
      </c>
      <c r="B176" s="53"/>
      <c r="C176" s="53"/>
      <c r="D176" s="32"/>
      <c r="E176" s="32"/>
      <c r="F176" s="27"/>
    </row>
    <row r="177" spans="1:6" ht="12.95" customHeight="1" x14ac:dyDescent="0.2">
      <c r="A177" s="31" t="s">
        <v>132</v>
      </c>
      <c r="B177" s="27"/>
      <c r="C177" s="32"/>
      <c r="D177" s="27"/>
      <c r="E177" s="32"/>
      <c r="F177" s="27"/>
    </row>
    <row r="178" spans="1:6" x14ac:dyDescent="0.2">
      <c r="A178" s="31" t="s">
        <v>133</v>
      </c>
      <c r="B178" s="32"/>
      <c r="C178" s="32"/>
      <c r="D178" s="32"/>
      <c r="E178" s="54"/>
      <c r="F178" s="46"/>
    </row>
    <row r="179" spans="1:6" x14ac:dyDescent="0.2">
      <c r="A179" s="23" t="s">
        <v>79</v>
      </c>
      <c r="B179" s="25"/>
      <c r="C179" s="26"/>
      <c r="D179" s="26"/>
      <c r="E179" s="26"/>
      <c r="F179" s="27"/>
    </row>
    <row r="180" spans="1:6" ht="12.95" customHeight="1" x14ac:dyDescent="0.2">
      <c r="A180" s="31" t="s">
        <v>134</v>
      </c>
      <c r="B180" s="27"/>
      <c r="C180" s="32"/>
      <c r="D180" s="27"/>
      <c r="E180" s="32"/>
      <c r="F180" s="27"/>
    </row>
    <row r="181" spans="1:6" x14ac:dyDescent="0.2">
      <c r="A181" s="31" t="s">
        <v>135</v>
      </c>
      <c r="B181" s="32"/>
      <c r="C181" s="32"/>
      <c r="D181" s="32"/>
      <c r="E181" s="54"/>
      <c r="F181" s="46"/>
    </row>
    <row r="182" spans="1:6" x14ac:dyDescent="0.2">
      <c r="A182" s="36" t="s">
        <v>136</v>
      </c>
      <c r="B182" s="36"/>
      <c r="C182" s="36"/>
      <c r="D182" s="36"/>
      <c r="E182" s="54"/>
      <c r="F182" s="46"/>
    </row>
    <row r="183" spans="1:6" x14ac:dyDescent="0.2">
      <c r="A183" s="40"/>
      <c r="B183" s="27"/>
      <c r="C183" s="27"/>
      <c r="D183" s="27"/>
      <c r="E183" s="46"/>
      <c r="F183" s="46"/>
    </row>
    <row r="184" spans="1:6" hidden="1" x14ac:dyDescent="0.2">
      <c r="A184" s="40"/>
      <c r="B184" s="27"/>
      <c r="C184" s="27"/>
      <c r="D184" s="27"/>
      <c r="E184" s="46"/>
      <c r="F184" s="46"/>
    </row>
    <row r="189" spans="1:6" ht="12.75" hidden="1" customHeight="1" x14ac:dyDescent="0.2"/>
    <row r="192" spans="1:6" hidden="1" x14ac:dyDescent="0.2">
      <c r="A192" s="55"/>
      <c r="B192" s="46"/>
      <c r="C192" s="46"/>
      <c r="D192" s="46"/>
      <c r="E192" s="46"/>
      <c r="F192" s="46"/>
    </row>
    <row r="193" spans="1:6" hidden="1" x14ac:dyDescent="0.2">
      <c r="A193" s="55"/>
      <c r="B193" s="46"/>
      <c r="C193" s="46"/>
      <c r="D193" s="46"/>
      <c r="E193" s="46"/>
      <c r="F193" s="46"/>
    </row>
    <row r="194" spans="1:6" hidden="1" x14ac:dyDescent="0.2">
      <c r="A194" s="55"/>
      <c r="B194" s="46"/>
      <c r="C194" s="46"/>
      <c r="D194" s="46"/>
      <c r="E194" s="46"/>
      <c r="F194" s="46"/>
    </row>
    <row r="195" spans="1:6" hidden="1" x14ac:dyDescent="0.2">
      <c r="A195" s="55"/>
      <c r="B195" s="46"/>
      <c r="C195" s="46"/>
      <c r="D195" s="46"/>
      <c r="E195" s="46"/>
      <c r="F195" s="46"/>
    </row>
    <row r="196" spans="1:6" hidden="1" x14ac:dyDescent="0.2">
      <c r="A196" s="55"/>
      <c r="B196" s="46"/>
      <c r="C196" s="46"/>
      <c r="D196" s="46"/>
      <c r="E196" s="46"/>
      <c r="F196" s="46"/>
    </row>
    <row r="205" spans="1:6" x14ac:dyDescent="0.2"/>
    <row r="206" spans="1:6" x14ac:dyDescent="0.2"/>
    <row r="207" spans="1:6" x14ac:dyDescent="0.2"/>
    <row r="208" spans="1:6"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sheetData>
  <sheetProtection sheet="1" formatCells="0" formatRows="0" insertColumns="0" insertRows="0" deleteRows="0"/>
  <mergeCells count="15">
    <mergeCell ref="B7:E7"/>
    <mergeCell ref="B5:E5"/>
    <mergeCell ref="D171:E171"/>
    <mergeCell ref="A1:E1"/>
    <mergeCell ref="A24:E24"/>
    <mergeCell ref="A159:E159"/>
    <mergeCell ref="B2:E2"/>
    <mergeCell ref="B3:E3"/>
    <mergeCell ref="B4:E4"/>
    <mergeCell ref="A8:E8"/>
    <mergeCell ref="A9:E9"/>
    <mergeCell ref="B6:E6"/>
    <mergeCell ref="D22:E22"/>
    <mergeCell ref="D157:E157"/>
    <mergeCell ref="A10:E10"/>
  </mergeCells>
  <dataValidations xWindow="106" yWindow="572"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155:A156 A12 A21 A161 A17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60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162:A169 A129:A154 A27:A126" xr:uid="{00000000-0002-0000-0200-000002000000}">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2021&amp;RWorksheet - Travel</oddFooter>
  </headerFooter>
  <legacyDrawing r:id="rId2"/>
  <extLst>
    <ext xmlns:x14="http://schemas.microsoft.com/office/spreadsheetml/2009/9/main" uri="{CCE6A557-97BC-4b89-ADB6-D9C93CAAB3DF}">
      <x14:dataValidations xmlns:xm="http://schemas.microsoft.com/office/excel/2006/main" xWindow="106" yWindow="572"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3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4000000}">
          <x14:formula1>
            <xm:f>'Summary and sign-off'!$A$29:$A$30</xm:f>
          </x14:formula1>
          <xm:sqref>B7:E7</xm:sqref>
        </x14:dataValidation>
        <x14:dataValidation type="decimal" operator="greaterThan" allowBlank="1" showInputMessage="1" showErrorMessage="1" error="This cell must contain a dollar figure" xr:uid="{00000000-0002-0000-0200-000005000000}">
          <x14:formula1>
            <xm:f>'Summary and sign-off'!$A$47</xm:f>
          </x14:formula1>
          <xm:sqref>B12:B21 B161:B170 B129:B156 B26:B126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77"/>
  <sheetViews>
    <sheetView view="pageLayout" zoomScaleNormal="100" zoomScaleSheetLayoutView="93"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83" t="s">
        <v>109</v>
      </c>
      <c r="B1" s="183"/>
      <c r="C1" s="183"/>
      <c r="D1" s="183"/>
      <c r="E1" s="183"/>
      <c r="F1" s="38"/>
    </row>
    <row r="2" spans="1:6" ht="21" customHeight="1" x14ac:dyDescent="0.2">
      <c r="A2" s="4" t="s">
        <v>52</v>
      </c>
      <c r="B2" s="186" t="str">
        <f>'Summary and sign-off'!B2:F2</f>
        <v>WorkSafe New Zealand</v>
      </c>
      <c r="C2" s="186"/>
      <c r="D2" s="186"/>
      <c r="E2" s="186"/>
      <c r="F2" s="38"/>
    </row>
    <row r="3" spans="1:6" ht="21" customHeight="1" x14ac:dyDescent="0.2">
      <c r="A3" s="4" t="s">
        <v>110</v>
      </c>
      <c r="B3" s="186" t="str">
        <f>'Summary and sign-off'!B3:F3</f>
        <v>Phil Parkes</v>
      </c>
      <c r="C3" s="186"/>
      <c r="D3" s="186"/>
      <c r="E3" s="186"/>
      <c r="F3" s="38"/>
    </row>
    <row r="4" spans="1:6" ht="21" customHeight="1" x14ac:dyDescent="0.2">
      <c r="A4" s="4" t="s">
        <v>111</v>
      </c>
      <c r="B4" s="186">
        <f>'Summary and sign-off'!B4:F4</f>
        <v>44013</v>
      </c>
      <c r="C4" s="186"/>
      <c r="D4" s="186"/>
      <c r="E4" s="186"/>
      <c r="F4" s="38"/>
    </row>
    <row r="5" spans="1:6" ht="21" customHeight="1" x14ac:dyDescent="0.2">
      <c r="A5" s="4" t="s">
        <v>112</v>
      </c>
      <c r="B5" s="186">
        <f>'Summary and sign-off'!B5:F5</f>
        <v>44377</v>
      </c>
      <c r="C5" s="186"/>
      <c r="D5" s="186"/>
      <c r="E5" s="186"/>
      <c r="F5" s="38"/>
    </row>
    <row r="6" spans="1:6" ht="21" customHeight="1" x14ac:dyDescent="0.2">
      <c r="A6" s="4" t="s">
        <v>113</v>
      </c>
      <c r="B6" s="181" t="s">
        <v>80</v>
      </c>
      <c r="C6" s="181"/>
      <c r="D6" s="181"/>
      <c r="E6" s="181"/>
      <c r="F6" s="38"/>
    </row>
    <row r="7" spans="1:6" ht="21" customHeight="1" x14ac:dyDescent="0.2">
      <c r="A7" s="4" t="s">
        <v>56</v>
      </c>
      <c r="B7" s="181" t="s">
        <v>83</v>
      </c>
      <c r="C7" s="181"/>
      <c r="D7" s="181"/>
      <c r="E7" s="181"/>
      <c r="F7" s="38"/>
    </row>
    <row r="8" spans="1:6" ht="35.25" customHeight="1" x14ac:dyDescent="0.25">
      <c r="A8" s="196" t="s">
        <v>137</v>
      </c>
      <c r="B8" s="196"/>
      <c r="C8" s="197"/>
      <c r="D8" s="197"/>
      <c r="E8" s="197"/>
      <c r="F8" s="42"/>
    </row>
    <row r="9" spans="1:6" ht="35.25" customHeight="1" x14ac:dyDescent="0.25">
      <c r="A9" s="194" t="s">
        <v>138</v>
      </c>
      <c r="B9" s="195"/>
      <c r="C9" s="195"/>
      <c r="D9" s="195"/>
      <c r="E9" s="195"/>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57"/>
      <c r="B12" s="158"/>
      <c r="C12" s="162"/>
      <c r="D12" s="162"/>
      <c r="E12" s="163"/>
      <c r="F12" s="174"/>
    </row>
    <row r="13" spans="1:6" s="87" customFormat="1" x14ac:dyDescent="0.2">
      <c r="A13" s="157"/>
      <c r="B13" s="158"/>
      <c r="C13" s="162"/>
      <c r="D13" s="162"/>
      <c r="E13" s="163"/>
      <c r="F13" s="174"/>
    </row>
    <row r="14" spans="1:6" s="87" customFormat="1" x14ac:dyDescent="0.2">
      <c r="A14" s="157"/>
      <c r="B14" s="158"/>
      <c r="C14" s="162"/>
      <c r="D14" s="162"/>
      <c r="E14" s="163"/>
      <c r="F14" s="174"/>
    </row>
    <row r="15" spans="1:6" s="87" customFormat="1" x14ac:dyDescent="0.2">
      <c r="A15" s="157"/>
      <c r="B15" s="158"/>
      <c r="C15" s="162"/>
      <c r="D15" s="162"/>
      <c r="E15" s="163"/>
      <c r="F15" s="174"/>
    </row>
    <row r="16" spans="1:6" s="87" customFormat="1" x14ac:dyDescent="0.2">
      <c r="A16" s="157"/>
      <c r="B16" s="158"/>
      <c r="C16" s="162"/>
      <c r="D16" s="162"/>
      <c r="E16" s="163"/>
      <c r="F16" s="174"/>
    </row>
    <row r="17" spans="1:6" s="87" customFormat="1" x14ac:dyDescent="0.2">
      <c r="A17" s="157"/>
      <c r="B17" s="158"/>
      <c r="C17" s="162"/>
      <c r="D17" s="162"/>
      <c r="E17" s="163"/>
      <c r="F17" s="174"/>
    </row>
    <row r="18" spans="1:6" s="87" customFormat="1" x14ac:dyDescent="0.2">
      <c r="A18" s="157"/>
      <c r="B18" s="158"/>
      <c r="C18" s="162"/>
      <c r="D18" s="162"/>
      <c r="E18" s="163"/>
      <c r="F18" s="174"/>
    </row>
    <row r="19" spans="1:6" s="87" customFormat="1" x14ac:dyDescent="0.2">
      <c r="A19" s="157"/>
      <c r="B19" s="158"/>
      <c r="C19" s="162"/>
      <c r="D19" s="162"/>
      <c r="E19" s="163"/>
      <c r="F19" s="174"/>
    </row>
    <row r="20" spans="1:6" s="87" customFormat="1" x14ac:dyDescent="0.2">
      <c r="A20" s="157"/>
      <c r="B20" s="158"/>
      <c r="C20" s="162"/>
      <c r="D20" s="162"/>
      <c r="E20" s="163"/>
      <c r="F20" s="174"/>
    </row>
    <row r="21" spans="1:6" s="87" customFormat="1" x14ac:dyDescent="0.2">
      <c r="A21" s="157"/>
      <c r="B21" s="158"/>
      <c r="C21" s="162"/>
      <c r="D21" s="162"/>
      <c r="E21" s="163"/>
      <c r="F21" s="174"/>
    </row>
    <row r="22" spans="1:6" s="87" customFormat="1" x14ac:dyDescent="0.2">
      <c r="A22" s="157"/>
      <c r="B22" s="158"/>
      <c r="C22" s="162"/>
      <c r="D22" s="162"/>
      <c r="E22" s="163"/>
      <c r="F22" s="174"/>
    </row>
    <row r="23" spans="1:6" s="87" customFormat="1" x14ac:dyDescent="0.2">
      <c r="A23" s="157"/>
      <c r="B23" s="158"/>
      <c r="C23" s="162"/>
      <c r="D23" s="162"/>
      <c r="E23" s="163"/>
      <c r="F23" s="174"/>
    </row>
    <row r="24" spans="1:6" s="87" customFormat="1" x14ac:dyDescent="0.2">
      <c r="A24" s="157"/>
      <c r="B24" s="158"/>
      <c r="C24" s="162"/>
      <c r="D24" s="162"/>
      <c r="E24" s="163"/>
      <c r="F24" s="174"/>
    </row>
    <row r="25" spans="1:6" s="87" customFormat="1" x14ac:dyDescent="0.2">
      <c r="A25" s="157"/>
      <c r="B25" s="158"/>
      <c r="C25" s="162"/>
      <c r="D25" s="162"/>
      <c r="E25" s="163"/>
      <c r="F25" s="174"/>
    </row>
    <row r="26" spans="1:6" s="87" customFormat="1" x14ac:dyDescent="0.2">
      <c r="A26" s="157"/>
      <c r="B26" s="158"/>
      <c r="C26" s="162"/>
      <c r="D26" s="162"/>
      <c r="E26" s="163"/>
      <c r="F26" s="174"/>
    </row>
    <row r="27" spans="1:6" s="87" customFormat="1" x14ac:dyDescent="0.2">
      <c r="A27" s="157"/>
      <c r="B27" s="158"/>
      <c r="C27" s="162"/>
      <c r="D27" s="162"/>
      <c r="E27" s="163"/>
      <c r="F27" s="174"/>
    </row>
    <row r="28" spans="1:6" s="87" customFormat="1" x14ac:dyDescent="0.2">
      <c r="A28" s="157"/>
      <c r="B28" s="158"/>
      <c r="C28" s="162"/>
      <c r="D28" s="162"/>
      <c r="E28" s="163"/>
      <c r="F28" s="174"/>
    </row>
    <row r="29" spans="1:6" s="87" customFormat="1" x14ac:dyDescent="0.2">
      <c r="A29" s="161"/>
      <c r="B29" s="158"/>
      <c r="C29" s="162"/>
      <c r="D29" s="162"/>
      <c r="E29" s="163"/>
      <c r="F29" s="2"/>
    </row>
    <row r="30" spans="1:6" s="87" customFormat="1" x14ac:dyDescent="0.2">
      <c r="A30" s="161"/>
      <c r="B30" s="158"/>
      <c r="C30" s="162"/>
      <c r="D30" s="162"/>
      <c r="E30" s="163"/>
      <c r="F30" s="2"/>
    </row>
    <row r="31" spans="1:6" s="87" customFormat="1" ht="11.25" hidden="1" customHeight="1" x14ac:dyDescent="0.2">
      <c r="A31" s="137"/>
      <c r="B31" s="134"/>
      <c r="C31" s="138"/>
      <c r="D31" s="138"/>
      <c r="E31" s="139"/>
      <c r="F31" s="2"/>
    </row>
    <row r="32" spans="1:6" ht="34.5" customHeight="1" x14ac:dyDescent="0.2">
      <c r="A32" s="88" t="s">
        <v>142</v>
      </c>
      <c r="B32" s="97">
        <f>SUM(B11:B31)</f>
        <v>0</v>
      </c>
      <c r="C32" s="106" t="str">
        <f>IF(SUBTOTAL(3,B11:B31)=SUBTOTAL(103,B11:B31),'Summary and sign-off'!$A$48,'Summary and sign-off'!$A$49)</f>
        <v>Check - there are no hidden rows with data</v>
      </c>
      <c r="D32" s="187" t="str">
        <f>IF('Summary and sign-off'!F58='Summary and sign-off'!F54,'Summary and sign-off'!A51,'Summary and sign-off'!A50)</f>
        <v>Check - each entry provides sufficient information</v>
      </c>
      <c r="E32" s="187"/>
      <c r="F32" s="2"/>
    </row>
    <row r="33" spans="1:6" x14ac:dyDescent="0.2">
      <c r="A33" s="21"/>
      <c r="B33" s="20"/>
      <c r="C33" s="20"/>
      <c r="D33" s="20"/>
      <c r="E33" s="20"/>
      <c r="F33" s="38"/>
    </row>
    <row r="34" spans="1:6" x14ac:dyDescent="0.2">
      <c r="A34" s="21" t="s">
        <v>73</v>
      </c>
      <c r="B34" s="22"/>
      <c r="C34" s="27"/>
      <c r="D34" s="20"/>
      <c r="E34" s="20"/>
      <c r="F34" s="38"/>
    </row>
    <row r="35" spans="1:6" ht="12.75" customHeight="1" x14ac:dyDescent="0.2">
      <c r="A35" s="23" t="s">
        <v>143</v>
      </c>
      <c r="B35" s="23"/>
      <c r="C35" s="23"/>
      <c r="D35" s="23"/>
      <c r="E35" s="23"/>
      <c r="F35" s="38"/>
    </row>
    <row r="36" spans="1:6" x14ac:dyDescent="0.2">
      <c r="A36" s="23" t="s">
        <v>144</v>
      </c>
      <c r="B36" s="31"/>
      <c r="C36" s="43"/>
      <c r="D36" s="44"/>
      <c r="E36" s="44"/>
      <c r="F36" s="38"/>
    </row>
    <row r="37" spans="1:6" x14ac:dyDescent="0.2">
      <c r="A37" s="23" t="s">
        <v>79</v>
      </c>
      <c r="B37" s="25"/>
      <c r="C37" s="26"/>
      <c r="D37" s="26"/>
      <c r="E37" s="26"/>
      <c r="F37" s="27"/>
    </row>
    <row r="38" spans="1:6" x14ac:dyDescent="0.2">
      <c r="A38" s="31" t="s">
        <v>145</v>
      </c>
      <c r="B38" s="31"/>
      <c r="C38" s="43"/>
      <c r="D38" s="43"/>
      <c r="E38" s="43"/>
      <c r="F38" s="38"/>
    </row>
    <row r="39" spans="1:6" ht="12.75" customHeight="1" x14ac:dyDescent="0.2">
      <c r="A39" s="31" t="s">
        <v>146</v>
      </c>
      <c r="B39" s="31"/>
      <c r="C39" s="45"/>
      <c r="D39" s="45"/>
      <c r="E39" s="33"/>
      <c r="F39" s="38"/>
    </row>
    <row r="40" spans="1:6" x14ac:dyDescent="0.2">
      <c r="A40" s="20"/>
      <c r="B40" s="20"/>
      <c r="C40" s="20"/>
      <c r="D40" s="20"/>
      <c r="E40" s="20"/>
      <c r="F40" s="38"/>
    </row>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sheetData>
  <sheetProtection sheet="1" formatCells="0" insertRows="0" deleteRows="0"/>
  <mergeCells count="10">
    <mergeCell ref="D32:E32"/>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1"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6 A17:A30" xr:uid="{00000000-0002-0000-0300-000002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2021&amp;RWorksheet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3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4000000}">
          <x14:formula1>
            <xm:f>'Summary and sign-off'!$A$29:$A$30</xm:f>
          </x14:formula1>
          <xm:sqref>B7:E7</xm:sqref>
        </x14:dataValidation>
        <x14:dataValidation type="decimal" operator="greaterThan" allowBlank="1" showInputMessage="1" showErrorMessage="1" error="This cell must contain a dollar figure" xr:uid="{00000000-0002-0000-0300-000005000000}">
          <x14:formula1>
            <xm:f>'Summary and sign-off'!$A$47</xm:f>
          </x14:formula1>
          <xm:sqref>B11:B31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61"/>
  <sheetViews>
    <sheetView view="pageLayout" zoomScaleNormal="100" workbookViewId="0">
      <selection activeCell="C21" sqref="C21"/>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83" t="s">
        <v>109</v>
      </c>
      <c r="B1" s="183"/>
      <c r="C1" s="183"/>
      <c r="D1" s="183"/>
      <c r="E1" s="183"/>
      <c r="F1" s="24"/>
    </row>
    <row r="2" spans="1:6" ht="21" customHeight="1" x14ac:dyDescent="0.2">
      <c r="A2" s="4" t="s">
        <v>52</v>
      </c>
      <c r="B2" s="186" t="str">
        <f>'Summary and sign-off'!B2:F2</f>
        <v>WorkSafe New Zealand</v>
      </c>
      <c r="C2" s="186"/>
      <c r="D2" s="186"/>
      <c r="E2" s="186"/>
      <c r="F2" s="24"/>
    </row>
    <row r="3" spans="1:6" ht="21" customHeight="1" x14ac:dyDescent="0.2">
      <c r="A3" s="4" t="s">
        <v>110</v>
      </c>
      <c r="B3" s="186" t="str">
        <f>'Summary and sign-off'!B3:F3</f>
        <v>Phil Parkes</v>
      </c>
      <c r="C3" s="186"/>
      <c r="D3" s="186"/>
      <c r="E3" s="186"/>
      <c r="F3" s="24"/>
    </row>
    <row r="4" spans="1:6" ht="21" customHeight="1" x14ac:dyDescent="0.2">
      <c r="A4" s="4" t="s">
        <v>111</v>
      </c>
      <c r="B4" s="186">
        <f>'Summary and sign-off'!B4:F4</f>
        <v>44013</v>
      </c>
      <c r="C4" s="186"/>
      <c r="D4" s="186"/>
      <c r="E4" s="186"/>
      <c r="F4" s="24"/>
    </row>
    <row r="5" spans="1:6" ht="21" customHeight="1" x14ac:dyDescent="0.2">
      <c r="A5" s="4" t="s">
        <v>112</v>
      </c>
      <c r="B5" s="186">
        <f>'Summary and sign-off'!B5:F5</f>
        <v>44377</v>
      </c>
      <c r="C5" s="186"/>
      <c r="D5" s="186"/>
      <c r="E5" s="186"/>
      <c r="F5" s="24"/>
    </row>
    <row r="6" spans="1:6" ht="21" customHeight="1" x14ac:dyDescent="0.2">
      <c r="A6" s="4" t="s">
        <v>113</v>
      </c>
      <c r="B6" s="181" t="s">
        <v>80</v>
      </c>
      <c r="C6" s="181"/>
      <c r="D6" s="181"/>
      <c r="E6" s="181"/>
      <c r="F6" s="34"/>
    </row>
    <row r="7" spans="1:6" ht="21" customHeight="1" x14ac:dyDescent="0.2">
      <c r="A7" s="4" t="s">
        <v>56</v>
      </c>
      <c r="B7" s="181" t="s">
        <v>83</v>
      </c>
      <c r="C7" s="181"/>
      <c r="D7" s="181"/>
      <c r="E7" s="181"/>
      <c r="F7" s="34"/>
    </row>
    <row r="8" spans="1:6" ht="35.25" customHeight="1" x14ac:dyDescent="0.2">
      <c r="A8" s="190" t="s">
        <v>147</v>
      </c>
      <c r="B8" s="190"/>
      <c r="C8" s="197"/>
      <c r="D8" s="197"/>
      <c r="E8" s="197"/>
      <c r="F8" s="24"/>
    </row>
    <row r="9" spans="1:6" ht="35.25" customHeight="1" x14ac:dyDescent="0.2">
      <c r="A9" s="198" t="s">
        <v>148</v>
      </c>
      <c r="B9" s="199"/>
      <c r="C9" s="199"/>
      <c r="D9" s="199"/>
      <c r="E9" s="199"/>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57">
        <v>44029</v>
      </c>
      <c r="B12" s="158">
        <f>(22.17+22.34+23.56)/20*23</f>
        <v>78.280500000000004</v>
      </c>
      <c r="C12" s="162" t="s">
        <v>177</v>
      </c>
      <c r="D12" s="162" t="s">
        <v>177</v>
      </c>
      <c r="E12" s="163" t="s">
        <v>178</v>
      </c>
      <c r="F12" s="171"/>
    </row>
    <row r="13" spans="1:6" s="87" customFormat="1" x14ac:dyDescent="0.2">
      <c r="A13" s="157">
        <v>44039</v>
      </c>
      <c r="B13" s="158">
        <v>2070</v>
      </c>
      <c r="C13" s="162" t="s">
        <v>193</v>
      </c>
      <c r="D13" s="162" t="s">
        <v>192</v>
      </c>
      <c r="E13" s="163" t="s">
        <v>178</v>
      </c>
      <c r="F13" s="171"/>
    </row>
    <row r="14" spans="1:6" s="87" customFormat="1" x14ac:dyDescent="0.2">
      <c r="A14" s="157">
        <v>44043</v>
      </c>
      <c r="B14" s="158">
        <v>1610</v>
      </c>
      <c r="C14" s="162" t="s">
        <v>191</v>
      </c>
      <c r="D14" s="162" t="s">
        <v>192</v>
      </c>
      <c r="E14" s="163" t="s">
        <v>178</v>
      </c>
      <c r="F14" s="172"/>
    </row>
    <row r="15" spans="1:6" s="87" customFormat="1" x14ac:dyDescent="0.2">
      <c r="A15" s="157">
        <v>44045</v>
      </c>
      <c r="B15" s="158">
        <v>7.19</v>
      </c>
      <c r="C15" s="162" t="s">
        <v>187</v>
      </c>
      <c r="D15" s="162" t="s">
        <v>187</v>
      </c>
      <c r="E15" s="163" t="s">
        <v>178</v>
      </c>
      <c r="F15" s="175"/>
    </row>
    <row r="16" spans="1:6" s="87" customFormat="1" x14ac:dyDescent="0.2">
      <c r="A16" s="157">
        <v>44061</v>
      </c>
      <c r="B16" s="158">
        <f>22.17/20*23</f>
        <v>25.4955</v>
      </c>
      <c r="C16" s="162" t="s">
        <v>177</v>
      </c>
      <c r="D16" s="162" t="s">
        <v>177</v>
      </c>
      <c r="E16" s="163" t="s">
        <v>178</v>
      </c>
      <c r="F16" s="173"/>
    </row>
    <row r="17" spans="1:6" s="87" customFormat="1" x14ac:dyDescent="0.2">
      <c r="A17" s="157">
        <v>44093</v>
      </c>
      <c r="B17" s="158">
        <v>535</v>
      </c>
      <c r="C17" s="162" t="s">
        <v>179</v>
      </c>
      <c r="D17" s="162" t="s">
        <v>179</v>
      </c>
      <c r="E17" s="163" t="s">
        <v>178</v>
      </c>
      <c r="F17" s="173"/>
    </row>
    <row r="18" spans="1:6" s="87" customFormat="1" x14ac:dyDescent="0.2">
      <c r="A18" s="157">
        <v>44124</v>
      </c>
      <c r="B18" s="158">
        <f>22.17/20*23</f>
        <v>25.4955</v>
      </c>
      <c r="C18" s="162" t="s">
        <v>177</v>
      </c>
      <c r="D18" s="162" t="s">
        <v>177</v>
      </c>
      <c r="E18" s="163" t="s">
        <v>178</v>
      </c>
      <c r="F18" s="169"/>
    </row>
    <row r="19" spans="1:6" s="87" customFormat="1" x14ac:dyDescent="0.2">
      <c r="A19" s="157">
        <v>44151</v>
      </c>
      <c r="B19" s="158">
        <f>(22+22)*1.15</f>
        <v>50.599999999999994</v>
      </c>
      <c r="C19" s="162" t="s">
        <v>177</v>
      </c>
      <c r="D19" s="162" t="s">
        <v>177</v>
      </c>
      <c r="E19" s="163" t="s">
        <v>178</v>
      </c>
      <c r="F19" s="3"/>
    </row>
    <row r="20" spans="1:6" s="87" customFormat="1" x14ac:dyDescent="0.2">
      <c r="A20" s="157">
        <v>44165</v>
      </c>
      <c r="B20" s="158">
        <v>4600</v>
      </c>
      <c r="C20" s="162" t="s">
        <v>191</v>
      </c>
      <c r="D20" s="162" t="s">
        <v>192</v>
      </c>
      <c r="E20" s="163" t="s">
        <v>178</v>
      </c>
      <c r="F20" s="3"/>
    </row>
    <row r="21" spans="1:6" s="87" customFormat="1" x14ac:dyDescent="0.2">
      <c r="A21" s="157">
        <v>44225</v>
      </c>
      <c r="B21" s="158">
        <f>22/20*23</f>
        <v>25.3</v>
      </c>
      <c r="C21" s="162" t="s">
        <v>177</v>
      </c>
      <c r="D21" s="162" t="s">
        <v>177</v>
      </c>
      <c r="E21" s="163" t="s">
        <v>178</v>
      </c>
      <c r="F21" s="3"/>
    </row>
    <row r="22" spans="1:6" s="87" customFormat="1" x14ac:dyDescent="0.2">
      <c r="A22" s="157">
        <v>44251</v>
      </c>
      <c r="B22" s="158">
        <f>23.12/20*23</f>
        <v>26.588000000000005</v>
      </c>
      <c r="C22" s="162" t="s">
        <v>177</v>
      </c>
      <c r="D22" s="162" t="s">
        <v>177</v>
      </c>
      <c r="E22" s="163" t="s">
        <v>178</v>
      </c>
      <c r="F22" s="3"/>
    </row>
    <row r="23" spans="1:6" s="87" customFormat="1" x14ac:dyDescent="0.2">
      <c r="A23" s="157">
        <v>44251</v>
      </c>
      <c r="B23" s="158">
        <f>22.44/20*23</f>
        <v>25.806000000000001</v>
      </c>
      <c r="C23" s="162" t="s">
        <v>177</v>
      </c>
      <c r="D23" s="162" t="s">
        <v>177</v>
      </c>
      <c r="E23" s="163" t="s">
        <v>178</v>
      </c>
      <c r="F23" s="3"/>
    </row>
    <row r="24" spans="1:6" s="87" customFormat="1" x14ac:dyDescent="0.2">
      <c r="A24" s="157">
        <v>44266</v>
      </c>
      <c r="B24" s="158">
        <v>1100</v>
      </c>
      <c r="C24" s="162" t="s">
        <v>229</v>
      </c>
      <c r="D24" s="162" t="s">
        <v>192</v>
      </c>
      <c r="E24" s="163" t="s">
        <v>178</v>
      </c>
      <c r="F24" s="3"/>
    </row>
    <row r="25" spans="1:6" s="87" customFormat="1" x14ac:dyDescent="0.2">
      <c r="A25" s="157">
        <v>44257</v>
      </c>
      <c r="B25" s="158">
        <v>545</v>
      </c>
      <c r="C25" s="162" t="s">
        <v>179</v>
      </c>
      <c r="D25" s="162" t="s">
        <v>179</v>
      </c>
      <c r="E25" s="163" t="s">
        <v>178</v>
      </c>
      <c r="F25" s="3"/>
    </row>
    <row r="26" spans="1:6" s="87" customFormat="1" x14ac:dyDescent="0.2">
      <c r="A26" s="157">
        <v>44323</v>
      </c>
      <c r="B26" s="158">
        <v>1380</v>
      </c>
      <c r="C26" s="162" t="s">
        <v>230</v>
      </c>
      <c r="D26" s="162" t="s">
        <v>192</v>
      </c>
      <c r="E26" s="163" t="s">
        <v>178</v>
      </c>
      <c r="F26" s="3"/>
    </row>
    <row r="27" spans="1:6" s="87" customFormat="1" x14ac:dyDescent="0.2">
      <c r="A27" s="157">
        <v>44313</v>
      </c>
      <c r="B27" s="158">
        <v>28.53</v>
      </c>
      <c r="C27" s="162" t="s">
        <v>177</v>
      </c>
      <c r="D27" s="162" t="s">
        <v>177</v>
      </c>
      <c r="E27" s="163" t="s">
        <v>178</v>
      </c>
      <c r="F27" s="169"/>
    </row>
    <row r="28" spans="1:6" s="87" customFormat="1" x14ac:dyDescent="0.2">
      <c r="A28" s="161">
        <v>44337</v>
      </c>
      <c r="B28" s="158">
        <f>(22.17-1.85)/20*23</f>
        <v>23.368000000000002</v>
      </c>
      <c r="C28" s="162" t="s">
        <v>177</v>
      </c>
      <c r="D28" s="162" t="s">
        <v>177</v>
      </c>
      <c r="E28" s="163" t="s">
        <v>178</v>
      </c>
      <c r="F28" s="3"/>
    </row>
    <row r="29" spans="1:6" s="87" customFormat="1" x14ac:dyDescent="0.2">
      <c r="A29" s="161">
        <v>44343</v>
      </c>
      <c r="B29" s="158">
        <f>25.27/20*23</f>
        <v>29.060500000000001</v>
      </c>
      <c r="C29" s="162" t="s">
        <v>177</v>
      </c>
      <c r="D29" s="162" t="s">
        <v>177</v>
      </c>
      <c r="E29" s="163" t="s">
        <v>178</v>
      </c>
      <c r="F29" s="169"/>
    </row>
    <row r="30" spans="1:6" s="87" customFormat="1" x14ac:dyDescent="0.2">
      <c r="A30" s="161"/>
      <c r="B30" s="158"/>
      <c r="C30" s="162"/>
      <c r="D30" s="162"/>
      <c r="E30" s="163"/>
      <c r="F30" s="3"/>
    </row>
    <row r="31" spans="1:6" s="87" customFormat="1" hidden="1" x14ac:dyDescent="0.2">
      <c r="A31" s="137"/>
      <c r="B31" s="134"/>
      <c r="C31" s="138"/>
      <c r="D31" s="138"/>
      <c r="E31" s="139"/>
      <c r="F31" s="3"/>
    </row>
    <row r="32" spans="1:6" ht="34.5" customHeight="1" x14ac:dyDescent="0.2">
      <c r="A32" s="88" t="s">
        <v>151</v>
      </c>
      <c r="B32" s="97">
        <f>SUM(B11:B31)</f>
        <v>12185.714</v>
      </c>
      <c r="C32" s="106" t="str">
        <f>IF(SUBTOTAL(3,B11:B31)=SUBTOTAL(103,B11:B31),'Summary and sign-off'!$A$48,'Summary and sign-off'!$A$49)</f>
        <v>Check - there are no hidden rows with data</v>
      </c>
      <c r="D32" s="187" t="str">
        <f>IF('Summary and sign-off'!F59='Summary and sign-off'!F54,'Summary and sign-off'!A51,'Summary and sign-off'!A50)</f>
        <v>Check - each entry provides sufficient information</v>
      </c>
      <c r="E32" s="187"/>
      <c r="F32" s="37"/>
    </row>
    <row r="33" spans="1:6" ht="14.1" customHeight="1" x14ac:dyDescent="0.2">
      <c r="A33" s="38"/>
      <c r="B33" s="27"/>
      <c r="C33" s="20"/>
      <c r="D33" s="20"/>
      <c r="E33" s="20"/>
      <c r="F33" s="24"/>
    </row>
    <row r="34" spans="1:6" x14ac:dyDescent="0.2">
      <c r="A34" s="21" t="s">
        <v>152</v>
      </c>
      <c r="B34" s="20"/>
      <c r="C34" s="20"/>
      <c r="D34" s="20"/>
      <c r="E34" s="20"/>
      <c r="F34" s="24"/>
    </row>
    <row r="35" spans="1:6" ht="12.6" customHeight="1" x14ac:dyDescent="0.2">
      <c r="A35" s="23" t="s">
        <v>131</v>
      </c>
      <c r="B35" s="20"/>
      <c r="C35" s="20"/>
      <c r="D35" s="20"/>
      <c r="E35" s="20"/>
      <c r="F35" s="24"/>
    </row>
    <row r="36" spans="1:6" x14ac:dyDescent="0.2">
      <c r="A36" s="23" t="s">
        <v>79</v>
      </c>
      <c r="B36" s="25"/>
      <c r="C36" s="26"/>
      <c r="D36" s="26"/>
      <c r="E36" s="26"/>
      <c r="F36" s="27"/>
    </row>
    <row r="37" spans="1:6" x14ac:dyDescent="0.2">
      <c r="A37" s="31" t="s">
        <v>145</v>
      </c>
      <c r="B37" s="32"/>
      <c r="C37" s="27"/>
      <c r="D37" s="27"/>
      <c r="E37" s="27"/>
      <c r="F37" s="27"/>
    </row>
    <row r="38" spans="1:6" ht="12.75" customHeight="1" x14ac:dyDescent="0.2">
      <c r="A38" s="31" t="s">
        <v>146</v>
      </c>
      <c r="B38" s="39"/>
      <c r="C38" s="33"/>
      <c r="D38" s="33"/>
      <c r="E38" s="33"/>
      <c r="F38" s="33"/>
    </row>
    <row r="39" spans="1:6" x14ac:dyDescent="0.2">
      <c r="A39" s="38"/>
      <c r="B39" s="40"/>
      <c r="C39" s="20"/>
      <c r="D39" s="20"/>
      <c r="E39" s="20"/>
      <c r="F39" s="38"/>
    </row>
    <row r="40" spans="1:6" hidden="1" x14ac:dyDescent="0.2">
      <c r="A40" s="20"/>
      <c r="B40" s="20"/>
      <c r="C40" s="20"/>
      <c r="D40" s="20"/>
      <c r="E40" s="38"/>
    </row>
    <row r="41" spans="1:6" ht="12.75" hidden="1" customHeight="1" x14ac:dyDescent="0.2"/>
    <row r="42" spans="1:6" hidden="1" x14ac:dyDescent="0.2">
      <c r="A42" s="41"/>
      <c r="B42" s="41"/>
      <c r="C42" s="41"/>
      <c r="D42" s="41"/>
      <c r="E42" s="41"/>
      <c r="F42" s="24"/>
    </row>
    <row r="43" spans="1:6" hidden="1" x14ac:dyDescent="0.2">
      <c r="A43" s="41"/>
      <c r="B43" s="41"/>
      <c r="C43" s="41"/>
      <c r="D43" s="41"/>
      <c r="E43" s="41"/>
      <c r="F43" s="24"/>
    </row>
    <row r="44" spans="1:6" hidden="1" x14ac:dyDescent="0.2">
      <c r="A44" s="41"/>
      <c r="B44" s="41"/>
      <c r="C44" s="41"/>
      <c r="D44" s="41"/>
      <c r="E44" s="41"/>
      <c r="F44" s="24"/>
    </row>
    <row r="45" spans="1:6" hidden="1" x14ac:dyDescent="0.2">
      <c r="A45" s="41"/>
      <c r="B45" s="41"/>
      <c r="C45" s="41"/>
      <c r="D45" s="41"/>
      <c r="E45" s="41"/>
      <c r="F45" s="24"/>
    </row>
    <row r="46" spans="1:6" hidden="1" x14ac:dyDescent="0.2">
      <c r="A46" s="41"/>
      <c r="B46" s="41"/>
      <c r="C46" s="41"/>
      <c r="D46" s="41"/>
      <c r="E46" s="41"/>
      <c r="F46" s="24"/>
    </row>
    <row r="58" x14ac:dyDescent="0.2"/>
    <row r="59" x14ac:dyDescent="0.2"/>
    <row r="60" x14ac:dyDescent="0.2"/>
    <row r="61" x14ac:dyDescent="0.2"/>
  </sheetData>
  <sheetProtection sheet="1" formatCells="0" insertRows="0" deleteRows="0"/>
  <mergeCells count="10">
    <mergeCell ref="D32:E32"/>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1"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30" xr:uid="{00000000-0002-0000-0400-000002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2021&amp;RWorksheet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3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4000000}">
          <x14:formula1>
            <xm:f>'Summary and sign-off'!$A$29:$A$30</xm:f>
          </x14:formula1>
          <xm:sqref>B7:E7</xm:sqref>
        </x14:dataValidation>
        <x14:dataValidation type="decimal" operator="greaterThan" allowBlank="1" showInputMessage="1" showErrorMessage="1" error="This cell must contain a dollar figure" xr:uid="{00000000-0002-0000-0400-000005000000}">
          <x14:formula1>
            <xm:f>'Summary and sign-off'!$A$47</xm:f>
          </x14:formula1>
          <xm:sqref>B11:B31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105"/>
  <sheetViews>
    <sheetView view="pageBreakPreview" zoomScale="98" zoomScaleNormal="100" zoomScaleSheetLayoutView="98" workbookViewId="0">
      <pane ySplit="11" topLeftCell="A30" activePane="bottomLeft" state="frozen"/>
      <selection activeCell="C27" sqref="C27"/>
      <selection pane="bottomLeft" activeCell="G9" sqref="G9"/>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83" t="s">
        <v>153</v>
      </c>
      <c r="B1" s="183"/>
      <c r="C1" s="183"/>
      <c r="D1" s="183"/>
      <c r="E1" s="183"/>
      <c r="F1" s="183"/>
    </row>
    <row r="2" spans="1:6" ht="21" customHeight="1" x14ac:dyDescent="0.2">
      <c r="A2" s="4" t="s">
        <v>52</v>
      </c>
      <c r="B2" s="186" t="str">
        <f>'Summary and sign-off'!B2:F2</f>
        <v>WorkSafe New Zealand</v>
      </c>
      <c r="C2" s="186"/>
      <c r="D2" s="186"/>
      <c r="E2" s="186"/>
      <c r="F2" s="186"/>
    </row>
    <row r="3" spans="1:6" ht="21" customHeight="1" x14ac:dyDescent="0.2">
      <c r="A3" s="4" t="s">
        <v>110</v>
      </c>
      <c r="B3" s="186" t="str">
        <f>'Summary and sign-off'!B3:F3</f>
        <v>Phil Parkes</v>
      </c>
      <c r="C3" s="186"/>
      <c r="D3" s="186"/>
      <c r="E3" s="186"/>
      <c r="F3" s="186"/>
    </row>
    <row r="4" spans="1:6" ht="21" customHeight="1" x14ac:dyDescent="0.2">
      <c r="A4" s="4" t="s">
        <v>111</v>
      </c>
      <c r="B4" s="186">
        <f>'Summary and sign-off'!B4:F4</f>
        <v>44013</v>
      </c>
      <c r="C4" s="186"/>
      <c r="D4" s="186"/>
      <c r="E4" s="186"/>
      <c r="F4" s="186"/>
    </row>
    <row r="5" spans="1:6" ht="21" customHeight="1" x14ac:dyDescent="0.2">
      <c r="A5" s="4" t="s">
        <v>112</v>
      </c>
      <c r="B5" s="186">
        <f>'Summary and sign-off'!B5:F5</f>
        <v>44377</v>
      </c>
      <c r="C5" s="186"/>
      <c r="D5" s="186"/>
      <c r="E5" s="186"/>
      <c r="F5" s="186"/>
    </row>
    <row r="6" spans="1:6" ht="21" customHeight="1" x14ac:dyDescent="0.2">
      <c r="A6" s="4" t="s">
        <v>154</v>
      </c>
      <c r="B6" s="181" t="s">
        <v>80</v>
      </c>
      <c r="C6" s="181"/>
      <c r="D6" s="181"/>
      <c r="E6" s="181"/>
      <c r="F6" s="181"/>
    </row>
    <row r="7" spans="1:6" ht="21" customHeight="1" x14ac:dyDescent="0.2">
      <c r="A7" s="4" t="s">
        <v>56</v>
      </c>
      <c r="B7" s="181" t="s">
        <v>83</v>
      </c>
      <c r="C7" s="181"/>
      <c r="D7" s="181"/>
      <c r="E7" s="181"/>
      <c r="F7" s="181"/>
    </row>
    <row r="8" spans="1:6" ht="36" customHeight="1" x14ac:dyDescent="0.2">
      <c r="A8" s="190" t="s">
        <v>155</v>
      </c>
      <c r="B8" s="190"/>
      <c r="C8" s="190"/>
      <c r="D8" s="190"/>
      <c r="E8" s="190"/>
      <c r="F8" s="190"/>
    </row>
    <row r="9" spans="1:6" ht="36" customHeight="1" x14ac:dyDescent="0.2">
      <c r="A9" s="198" t="s">
        <v>156</v>
      </c>
      <c r="B9" s="199"/>
      <c r="C9" s="199"/>
      <c r="D9" s="199"/>
      <c r="E9" s="199"/>
      <c r="F9" s="199"/>
    </row>
    <row r="10" spans="1:6" ht="39" customHeight="1" x14ac:dyDescent="0.2">
      <c r="A10" s="35" t="s">
        <v>117</v>
      </c>
      <c r="B10" s="151" t="s">
        <v>157</v>
      </c>
      <c r="C10" s="151" t="s">
        <v>158</v>
      </c>
      <c r="D10" s="151" t="s">
        <v>159</v>
      </c>
      <c r="E10" s="151" t="s">
        <v>160</v>
      </c>
      <c r="F10" s="151" t="s">
        <v>161</v>
      </c>
    </row>
    <row r="11" spans="1:6" s="87" customFormat="1" hidden="1" x14ac:dyDescent="0.2">
      <c r="A11" s="133"/>
      <c r="B11" s="138"/>
      <c r="C11" s="140"/>
      <c r="D11" s="138"/>
      <c r="E11" s="141"/>
      <c r="F11" s="139"/>
    </row>
    <row r="12" spans="1:6" s="87" customFormat="1" x14ac:dyDescent="0.2">
      <c r="A12" s="133"/>
      <c r="B12" s="178" t="s">
        <v>246</v>
      </c>
      <c r="C12" s="140"/>
      <c r="D12" s="138"/>
      <c r="E12" s="141"/>
      <c r="F12" s="139"/>
    </row>
    <row r="13" spans="1:6" s="87" customFormat="1" x14ac:dyDescent="0.2">
      <c r="A13" s="157">
        <v>44068</v>
      </c>
      <c r="B13" s="164" t="s">
        <v>211</v>
      </c>
      <c r="C13" s="165" t="s">
        <v>96</v>
      </c>
      <c r="D13" s="164" t="s">
        <v>212</v>
      </c>
      <c r="E13" s="166" t="s">
        <v>91</v>
      </c>
      <c r="F13" s="167"/>
    </row>
    <row r="14" spans="1:6" s="87" customFormat="1" x14ac:dyDescent="0.2">
      <c r="A14" s="157">
        <v>44147</v>
      </c>
      <c r="B14" s="164" t="s">
        <v>213</v>
      </c>
      <c r="C14" s="165" t="s">
        <v>96</v>
      </c>
      <c r="D14" s="164" t="s">
        <v>214</v>
      </c>
      <c r="E14" s="166" t="s">
        <v>91</v>
      </c>
      <c r="F14" s="167"/>
    </row>
    <row r="15" spans="1:6" s="87" customFormat="1" x14ac:dyDescent="0.2">
      <c r="A15" s="157">
        <v>44148</v>
      </c>
      <c r="B15" s="164" t="s">
        <v>215</v>
      </c>
      <c r="C15" s="165" t="s">
        <v>96</v>
      </c>
      <c r="D15" s="164" t="s">
        <v>216</v>
      </c>
      <c r="E15" s="166" t="s">
        <v>91</v>
      </c>
      <c r="F15" s="167"/>
    </row>
    <row r="16" spans="1:6" s="87" customFormat="1" x14ac:dyDescent="0.2">
      <c r="A16" s="157">
        <v>44181</v>
      </c>
      <c r="B16" s="164" t="s">
        <v>217</v>
      </c>
      <c r="C16" s="165" t="s">
        <v>96</v>
      </c>
      <c r="D16" s="164" t="s">
        <v>218</v>
      </c>
      <c r="E16" s="166" t="s">
        <v>91</v>
      </c>
      <c r="F16" s="167"/>
    </row>
    <row r="17" spans="1:6" s="87" customFormat="1" x14ac:dyDescent="0.2">
      <c r="A17" s="157">
        <v>44181</v>
      </c>
      <c r="B17" s="164" t="s">
        <v>219</v>
      </c>
      <c r="C17" s="165" t="s">
        <v>96</v>
      </c>
      <c r="D17" s="164" t="s">
        <v>220</v>
      </c>
      <c r="E17" s="166" t="s">
        <v>91</v>
      </c>
      <c r="F17" s="167"/>
    </row>
    <row r="18" spans="1:6" s="87" customFormat="1" x14ac:dyDescent="0.2">
      <c r="A18" s="157"/>
      <c r="B18" s="164"/>
      <c r="C18" s="165"/>
      <c r="D18" s="164"/>
      <c r="E18" s="166"/>
      <c r="F18" s="167"/>
    </row>
    <row r="19" spans="1:6" s="87" customFormat="1" x14ac:dyDescent="0.2">
      <c r="A19" s="157"/>
      <c r="B19" s="178" t="s">
        <v>284</v>
      </c>
      <c r="C19" s="165"/>
      <c r="D19" s="164"/>
      <c r="E19" s="166"/>
      <c r="F19" s="167"/>
    </row>
    <row r="20" spans="1:6" s="87" customFormat="1" ht="25.5" x14ac:dyDescent="0.2">
      <c r="A20" s="157">
        <v>44126</v>
      </c>
      <c r="B20" s="164" t="s">
        <v>241</v>
      </c>
      <c r="C20" s="165" t="s">
        <v>96</v>
      </c>
      <c r="D20" s="164" t="s">
        <v>242</v>
      </c>
      <c r="E20" s="166" t="s">
        <v>91</v>
      </c>
      <c r="F20" s="167"/>
    </row>
    <row r="21" spans="1:6" s="87" customFormat="1" x14ac:dyDescent="0.2">
      <c r="A21" s="157">
        <v>44110</v>
      </c>
      <c r="B21" s="177" t="s">
        <v>243</v>
      </c>
      <c r="C21" s="165" t="s">
        <v>97</v>
      </c>
      <c r="D21" s="164" t="s">
        <v>244</v>
      </c>
      <c r="E21" s="166" t="s">
        <v>91</v>
      </c>
      <c r="F21" s="167"/>
    </row>
    <row r="22" spans="1:6" s="87" customFormat="1" ht="25.5" x14ac:dyDescent="0.2">
      <c r="A22" s="157">
        <v>44146</v>
      </c>
      <c r="B22" s="177" t="s">
        <v>247</v>
      </c>
      <c r="C22" s="165" t="s">
        <v>96</v>
      </c>
      <c r="D22" s="164" t="s">
        <v>245</v>
      </c>
      <c r="E22" s="166" t="s">
        <v>91</v>
      </c>
      <c r="F22" s="167"/>
    </row>
    <row r="23" spans="1:6" s="87" customFormat="1" x14ac:dyDescent="0.2">
      <c r="A23" s="157">
        <v>44167</v>
      </c>
      <c r="B23" s="164" t="s">
        <v>248</v>
      </c>
      <c r="C23" s="165" t="s">
        <v>97</v>
      </c>
      <c r="D23" s="164" t="s">
        <v>249</v>
      </c>
      <c r="E23" s="166" t="s">
        <v>91</v>
      </c>
      <c r="F23" s="167"/>
    </row>
    <row r="24" spans="1:6" s="87" customFormat="1" x14ac:dyDescent="0.2">
      <c r="A24" s="157">
        <v>44185</v>
      </c>
      <c r="B24" s="177" t="s">
        <v>251</v>
      </c>
      <c r="C24" s="165" t="s">
        <v>97</v>
      </c>
      <c r="D24" s="164" t="s">
        <v>250</v>
      </c>
      <c r="E24" s="166" t="s">
        <v>91</v>
      </c>
      <c r="F24" s="167"/>
    </row>
    <row r="25" spans="1:6" s="87" customFormat="1" x14ac:dyDescent="0.2">
      <c r="A25" s="157">
        <v>44207</v>
      </c>
      <c r="B25" s="164" t="s">
        <v>252</v>
      </c>
      <c r="C25" s="165" t="s">
        <v>96</v>
      </c>
      <c r="D25" s="164" t="s">
        <v>253</v>
      </c>
      <c r="E25" s="166" t="s">
        <v>91</v>
      </c>
      <c r="F25" s="167"/>
    </row>
    <row r="26" spans="1:6" s="87" customFormat="1" x14ac:dyDescent="0.2">
      <c r="A26" s="157">
        <v>44181</v>
      </c>
      <c r="B26" s="164" t="s">
        <v>254</v>
      </c>
      <c r="C26" s="165" t="s">
        <v>97</v>
      </c>
      <c r="D26" s="164" t="s">
        <v>249</v>
      </c>
      <c r="E26" s="166" t="s">
        <v>91</v>
      </c>
      <c r="F26" s="167"/>
    </row>
    <row r="27" spans="1:6" s="87" customFormat="1" x14ac:dyDescent="0.2">
      <c r="A27" s="157">
        <v>44224</v>
      </c>
      <c r="B27" s="164" t="s">
        <v>255</v>
      </c>
      <c r="C27" s="165" t="s">
        <v>96</v>
      </c>
      <c r="D27" s="164" t="s">
        <v>256</v>
      </c>
      <c r="E27" s="166" t="s">
        <v>91</v>
      </c>
      <c r="F27" s="167"/>
    </row>
    <row r="28" spans="1:6" s="87" customFormat="1" ht="25.5" x14ac:dyDescent="0.2">
      <c r="A28" s="157">
        <v>44224</v>
      </c>
      <c r="B28" s="164" t="s">
        <v>257</v>
      </c>
      <c r="C28" s="165" t="s">
        <v>97</v>
      </c>
      <c r="D28" s="164" t="s">
        <v>258</v>
      </c>
      <c r="E28" s="166" t="s">
        <v>91</v>
      </c>
      <c r="F28" s="167"/>
    </row>
    <row r="29" spans="1:6" s="87" customFormat="1" x14ac:dyDescent="0.2">
      <c r="A29" s="157">
        <v>44228</v>
      </c>
      <c r="B29" s="177" t="s">
        <v>259</v>
      </c>
      <c r="C29" s="165" t="s">
        <v>96</v>
      </c>
      <c r="D29" s="164" t="s">
        <v>260</v>
      </c>
      <c r="E29" s="166" t="s">
        <v>91</v>
      </c>
      <c r="F29" s="167"/>
    </row>
    <row r="30" spans="1:6" s="87" customFormat="1" x14ac:dyDescent="0.2">
      <c r="A30" s="157">
        <v>44228</v>
      </c>
      <c r="B30" s="164" t="s">
        <v>257</v>
      </c>
      <c r="C30" s="165" t="s">
        <v>97</v>
      </c>
      <c r="D30" s="164" t="s">
        <v>261</v>
      </c>
      <c r="E30" s="166" t="s">
        <v>91</v>
      </c>
      <c r="F30" s="167"/>
    </row>
    <row r="31" spans="1:6" s="87" customFormat="1" x14ac:dyDescent="0.2">
      <c r="A31" s="157">
        <v>44236</v>
      </c>
      <c r="B31" s="164" t="s">
        <v>262</v>
      </c>
      <c r="C31" s="165" t="s">
        <v>97</v>
      </c>
      <c r="D31" s="164" t="s">
        <v>249</v>
      </c>
      <c r="E31" s="166" t="s">
        <v>91</v>
      </c>
      <c r="F31" s="167"/>
    </row>
    <row r="32" spans="1:6" s="87" customFormat="1" x14ac:dyDescent="0.2">
      <c r="A32" s="157">
        <v>44242</v>
      </c>
      <c r="B32" s="164" t="s">
        <v>265</v>
      </c>
      <c r="C32" s="165" t="s">
        <v>97</v>
      </c>
      <c r="D32" s="164" t="s">
        <v>245</v>
      </c>
      <c r="E32" s="166" t="s">
        <v>91</v>
      </c>
      <c r="F32" s="167"/>
    </row>
    <row r="33" spans="1:6" s="87" customFormat="1" ht="25.5" x14ac:dyDescent="0.2">
      <c r="A33" s="157">
        <v>44243</v>
      </c>
      <c r="B33" s="164" t="s">
        <v>264</v>
      </c>
      <c r="C33" s="165" t="s">
        <v>96</v>
      </c>
      <c r="D33" s="164" t="s">
        <v>263</v>
      </c>
      <c r="E33" s="166" t="s">
        <v>91</v>
      </c>
      <c r="F33" s="167"/>
    </row>
    <row r="34" spans="1:6" s="87" customFormat="1" ht="25.5" x14ac:dyDescent="0.2">
      <c r="A34" s="157">
        <v>44242</v>
      </c>
      <c r="B34" s="164" t="s">
        <v>266</v>
      </c>
      <c r="C34" s="165" t="s">
        <v>96</v>
      </c>
      <c r="D34" s="164" t="s">
        <v>267</v>
      </c>
      <c r="E34" s="166" t="s">
        <v>91</v>
      </c>
      <c r="F34" s="167"/>
    </row>
    <row r="35" spans="1:6" s="87" customFormat="1" x14ac:dyDescent="0.2">
      <c r="A35" s="157">
        <v>44260</v>
      </c>
      <c r="B35" s="164" t="s">
        <v>268</v>
      </c>
      <c r="C35" s="165" t="s">
        <v>97</v>
      </c>
      <c r="D35" s="164" t="s">
        <v>269</v>
      </c>
      <c r="E35" s="166" t="s">
        <v>91</v>
      </c>
      <c r="F35" s="167"/>
    </row>
    <row r="36" spans="1:6" s="87" customFormat="1" x14ac:dyDescent="0.2">
      <c r="A36" s="157">
        <v>44250</v>
      </c>
      <c r="B36" s="164" t="s">
        <v>270</v>
      </c>
      <c r="C36" s="165" t="s">
        <v>96</v>
      </c>
      <c r="D36" s="164" t="s">
        <v>271</v>
      </c>
      <c r="E36" s="166" t="s">
        <v>91</v>
      </c>
      <c r="F36" s="167"/>
    </row>
    <row r="37" spans="1:6" s="87" customFormat="1" x14ac:dyDescent="0.2">
      <c r="A37" s="157">
        <v>44252</v>
      </c>
      <c r="B37" s="164" t="s">
        <v>272</v>
      </c>
      <c r="C37" s="165" t="s">
        <v>97</v>
      </c>
      <c r="D37" s="164" t="s">
        <v>249</v>
      </c>
      <c r="E37" s="166" t="s">
        <v>91</v>
      </c>
      <c r="F37" s="167"/>
    </row>
    <row r="38" spans="1:6" s="87" customFormat="1" x14ac:dyDescent="0.2">
      <c r="A38" s="157">
        <v>44279</v>
      </c>
      <c r="B38" s="164" t="s">
        <v>273</v>
      </c>
      <c r="C38" s="165" t="s">
        <v>97</v>
      </c>
      <c r="D38" s="164" t="s">
        <v>249</v>
      </c>
      <c r="E38" s="166" t="s">
        <v>91</v>
      </c>
      <c r="F38" s="167"/>
    </row>
    <row r="39" spans="1:6" s="87" customFormat="1" x14ac:dyDescent="0.2">
      <c r="A39" s="157">
        <v>44299</v>
      </c>
      <c r="B39" s="164" t="s">
        <v>276</v>
      </c>
      <c r="C39" s="165" t="s">
        <v>97</v>
      </c>
      <c r="D39" s="164" t="s">
        <v>249</v>
      </c>
      <c r="E39" s="166" t="s">
        <v>91</v>
      </c>
      <c r="F39" s="167"/>
    </row>
    <row r="40" spans="1:6" s="87" customFormat="1" ht="25.5" x14ac:dyDescent="0.2">
      <c r="A40" s="157">
        <v>44306</v>
      </c>
      <c r="B40" s="164" t="s">
        <v>277</v>
      </c>
      <c r="C40" s="165" t="s">
        <v>97</v>
      </c>
      <c r="D40" s="164" t="s">
        <v>278</v>
      </c>
      <c r="E40" s="166" t="s">
        <v>91</v>
      </c>
      <c r="F40" s="167"/>
    </row>
    <row r="41" spans="1:6" s="87" customFormat="1" ht="25.5" x14ac:dyDescent="0.2">
      <c r="A41" s="157">
        <v>44314</v>
      </c>
      <c r="B41" s="164" t="s">
        <v>274</v>
      </c>
      <c r="C41" s="165" t="s">
        <v>96</v>
      </c>
      <c r="D41" s="164" t="s">
        <v>275</v>
      </c>
      <c r="E41" s="166" t="s">
        <v>92</v>
      </c>
      <c r="F41" s="167"/>
    </row>
    <row r="42" spans="1:6" s="87" customFormat="1" ht="25.5" x14ac:dyDescent="0.2">
      <c r="A42" s="157">
        <v>44328</v>
      </c>
      <c r="B42" s="164" t="s">
        <v>280</v>
      </c>
      <c r="C42" s="165" t="s">
        <v>96</v>
      </c>
      <c r="D42" s="164" t="s">
        <v>281</v>
      </c>
      <c r="E42" s="166" t="s">
        <v>91</v>
      </c>
      <c r="F42" s="167"/>
    </row>
    <row r="43" spans="1:6" s="87" customFormat="1" x14ac:dyDescent="0.2">
      <c r="A43" s="157">
        <v>44336</v>
      </c>
      <c r="B43" s="164" t="s">
        <v>279</v>
      </c>
      <c r="C43" s="165" t="s">
        <v>96</v>
      </c>
      <c r="D43" s="164" t="s">
        <v>249</v>
      </c>
      <c r="E43" s="166" t="s">
        <v>91</v>
      </c>
      <c r="F43" s="167"/>
    </row>
    <row r="44" spans="1:6" s="87" customFormat="1" x14ac:dyDescent="0.2">
      <c r="A44" s="157">
        <v>44340</v>
      </c>
      <c r="B44" s="164" t="s">
        <v>282</v>
      </c>
      <c r="C44" s="165" t="s">
        <v>97</v>
      </c>
      <c r="D44" s="164" t="s">
        <v>283</v>
      </c>
      <c r="E44" s="166" t="s">
        <v>91</v>
      </c>
      <c r="F44" s="167"/>
    </row>
    <row r="45" spans="1:6" s="87" customFormat="1" x14ac:dyDescent="0.2">
      <c r="A45" s="157"/>
      <c r="B45" s="164"/>
      <c r="C45" s="165"/>
      <c r="D45" s="179"/>
      <c r="E45" s="166"/>
      <c r="F45" s="167"/>
    </row>
    <row r="46" spans="1:6" s="87" customFormat="1" x14ac:dyDescent="0.2">
      <c r="A46" s="157"/>
      <c r="B46" s="164"/>
      <c r="C46" s="165"/>
      <c r="D46" s="179"/>
      <c r="E46" s="166"/>
      <c r="F46" s="167"/>
    </row>
    <row r="47" spans="1:6" s="87" customFormat="1" x14ac:dyDescent="0.2">
      <c r="A47" s="157"/>
      <c r="B47" s="164"/>
      <c r="C47" s="165"/>
      <c r="D47" s="179"/>
      <c r="E47" s="166"/>
      <c r="F47" s="167"/>
    </row>
    <row r="48" spans="1:6" s="87" customFormat="1" x14ac:dyDescent="0.2">
      <c r="A48" s="157"/>
      <c r="B48" s="164"/>
      <c r="C48" s="165"/>
      <c r="D48" s="179"/>
      <c r="E48" s="166"/>
      <c r="F48" s="167"/>
    </row>
    <row r="49" spans="1:7" s="87" customFormat="1" x14ac:dyDescent="0.2">
      <c r="A49" s="157"/>
      <c r="B49" s="164"/>
      <c r="C49" s="165"/>
      <c r="D49" s="179"/>
      <c r="E49" s="166"/>
      <c r="F49" s="167"/>
    </row>
    <row r="50" spans="1:7" s="87" customFormat="1" x14ac:dyDescent="0.2">
      <c r="A50" s="157"/>
      <c r="B50" s="164"/>
      <c r="C50" s="165"/>
      <c r="D50" s="179"/>
      <c r="E50" s="166"/>
      <c r="F50" s="167"/>
    </row>
    <row r="51" spans="1:7" s="87" customFormat="1" x14ac:dyDescent="0.2">
      <c r="A51" s="157"/>
      <c r="B51" s="164"/>
      <c r="C51" s="165"/>
      <c r="D51" s="179"/>
      <c r="E51" s="166"/>
      <c r="F51" s="167"/>
    </row>
    <row r="52" spans="1:7" s="87" customFormat="1" x14ac:dyDescent="0.2">
      <c r="A52" s="157"/>
      <c r="B52" s="164"/>
      <c r="C52" s="165"/>
      <c r="D52" s="164"/>
      <c r="E52" s="166"/>
      <c r="F52" s="167"/>
    </row>
    <row r="53" spans="1:7" s="87" customFormat="1" x14ac:dyDescent="0.2">
      <c r="A53" s="157"/>
      <c r="B53" s="164"/>
      <c r="C53" s="165"/>
      <c r="D53" s="164"/>
      <c r="E53" s="166"/>
      <c r="F53" s="167"/>
    </row>
    <row r="54" spans="1:7" s="87" customFormat="1" x14ac:dyDescent="0.2">
      <c r="A54" s="157"/>
      <c r="B54" s="164"/>
      <c r="C54" s="165"/>
      <c r="D54" s="164"/>
      <c r="E54" s="166"/>
      <c r="F54" s="167"/>
    </row>
    <row r="55" spans="1:7" s="87" customFormat="1" x14ac:dyDescent="0.2">
      <c r="A55" s="157"/>
      <c r="B55" s="164"/>
      <c r="C55" s="165"/>
      <c r="D55" s="164"/>
      <c r="E55" s="166"/>
      <c r="F55" s="167"/>
    </row>
    <row r="56" spans="1:7" s="87" customFormat="1" x14ac:dyDescent="0.2">
      <c r="A56" s="157"/>
      <c r="B56" s="164"/>
      <c r="C56" s="165"/>
      <c r="D56" s="164"/>
      <c r="E56" s="166"/>
      <c r="F56" s="167"/>
    </row>
    <row r="57" spans="1:7" s="87" customFormat="1" hidden="1" x14ac:dyDescent="0.2">
      <c r="A57" s="133"/>
      <c r="B57" s="138"/>
      <c r="C57" s="140"/>
      <c r="D57" s="138"/>
      <c r="E57" s="141"/>
      <c r="F57" s="139"/>
    </row>
    <row r="58" spans="1:7" ht="34.5" customHeight="1" x14ac:dyDescent="0.2">
      <c r="A58" s="152" t="s">
        <v>162</v>
      </c>
      <c r="B58" s="153" t="s">
        <v>163</v>
      </c>
      <c r="C58" s="154">
        <f>C59+C60</f>
        <v>30</v>
      </c>
      <c r="D58" s="155" t="str">
        <f>IF(SUBTOTAL(3,C11:C57)=SUBTOTAL(103,C11:C57),'Summary and sign-off'!$A$48,'Summary and sign-off'!$A$49)</f>
        <v>Check - there are no hidden rows with data</v>
      </c>
      <c r="E58" s="187" t="str">
        <f>IF('Summary and sign-off'!F60='Summary and sign-off'!F54,'Summary and sign-off'!A52,'Summary and sign-off'!A50)</f>
        <v>Not all lines have an entry for "Description", "Was the gift accepted?" and "Estimated value in NZ$"</v>
      </c>
      <c r="F58" s="187"/>
      <c r="G58" s="87"/>
    </row>
    <row r="59" spans="1:7" ht="25.5" customHeight="1" x14ac:dyDescent="0.25">
      <c r="A59" s="89"/>
      <c r="B59" s="90" t="s">
        <v>96</v>
      </c>
      <c r="C59" s="91">
        <f>COUNTIF(C11:C57,'Summary and sign-off'!A45)</f>
        <v>16</v>
      </c>
      <c r="D59" s="17"/>
      <c r="E59" s="18"/>
      <c r="F59" s="19"/>
    </row>
    <row r="60" spans="1:7" ht="25.5" customHeight="1" x14ac:dyDescent="0.25">
      <c r="A60" s="89"/>
      <c r="B60" s="90" t="s">
        <v>97</v>
      </c>
      <c r="C60" s="91">
        <f>COUNTIF(C11:C57,'Summary and sign-off'!A46)</f>
        <v>14</v>
      </c>
      <c r="D60" s="17"/>
      <c r="E60" s="18"/>
      <c r="F60" s="19"/>
    </row>
    <row r="61" spans="1:7" x14ac:dyDescent="0.2">
      <c r="A61" s="20"/>
      <c r="B61" s="21"/>
      <c r="C61" s="20"/>
      <c r="D61" s="22"/>
      <c r="E61" s="22"/>
      <c r="F61" s="20"/>
    </row>
    <row r="62" spans="1:7" x14ac:dyDescent="0.2">
      <c r="A62" s="21" t="s">
        <v>152</v>
      </c>
      <c r="B62" s="21"/>
      <c r="C62" s="21"/>
      <c r="D62" s="21"/>
      <c r="E62" s="21"/>
      <c r="F62" s="21"/>
    </row>
    <row r="63" spans="1:7" ht="12.6" customHeight="1" x14ac:dyDescent="0.2">
      <c r="A63" s="23" t="s">
        <v>131</v>
      </c>
      <c r="B63" s="20"/>
      <c r="C63" s="20"/>
      <c r="D63" s="20"/>
      <c r="E63" s="20"/>
      <c r="F63" s="24"/>
    </row>
    <row r="64" spans="1:7" x14ac:dyDescent="0.2">
      <c r="A64" s="23" t="s">
        <v>79</v>
      </c>
      <c r="B64" s="25"/>
      <c r="C64" s="26"/>
      <c r="D64" s="26"/>
      <c r="E64" s="26"/>
      <c r="F64" s="27"/>
    </row>
    <row r="65" spans="1:6" x14ac:dyDescent="0.2">
      <c r="A65" s="23" t="s">
        <v>164</v>
      </c>
      <c r="B65" s="28"/>
      <c r="C65" s="28"/>
      <c r="D65" s="28"/>
      <c r="E65" s="28"/>
      <c r="F65" s="28"/>
    </row>
    <row r="66" spans="1:6" ht="12.75" customHeight="1" x14ac:dyDescent="0.2">
      <c r="A66" s="23" t="s">
        <v>165</v>
      </c>
      <c r="B66" s="20"/>
      <c r="C66" s="20"/>
      <c r="D66" s="20"/>
      <c r="E66" s="20"/>
      <c r="F66" s="20"/>
    </row>
    <row r="67" spans="1:6" ht="12.95" customHeight="1" x14ac:dyDescent="0.2">
      <c r="A67" s="29" t="s">
        <v>166</v>
      </c>
      <c r="B67" s="30"/>
      <c r="C67" s="30"/>
      <c r="D67" s="30"/>
      <c r="E67" s="30"/>
      <c r="F67" s="30"/>
    </row>
    <row r="68" spans="1:6" x14ac:dyDescent="0.2">
      <c r="A68" s="31" t="s">
        <v>167</v>
      </c>
      <c r="B68" s="32"/>
      <c r="C68" s="27"/>
      <c r="D68" s="27"/>
      <c r="E68" s="27"/>
      <c r="F68" s="27"/>
    </row>
    <row r="69" spans="1:6" ht="12.75" customHeight="1" x14ac:dyDescent="0.2">
      <c r="A69" s="31" t="s">
        <v>146</v>
      </c>
      <c r="B69" s="23"/>
      <c r="C69" s="33"/>
      <c r="D69" s="33"/>
      <c r="E69" s="33"/>
      <c r="F69" s="33"/>
    </row>
    <row r="70" spans="1:6" ht="12.75" customHeight="1" x14ac:dyDescent="0.2">
      <c r="A70" s="23"/>
      <c r="B70" s="23"/>
      <c r="C70" s="33"/>
      <c r="D70" s="33"/>
      <c r="E70" s="33"/>
      <c r="F70" s="33"/>
    </row>
    <row r="71" spans="1:6" ht="12.75" hidden="1" customHeight="1" x14ac:dyDescent="0.2">
      <c r="A71" s="23"/>
      <c r="B71" s="23"/>
      <c r="C71" s="33"/>
      <c r="D71" s="33"/>
      <c r="E71" s="33"/>
      <c r="F71" s="33"/>
    </row>
    <row r="74" spans="1:6" hidden="1" x14ac:dyDescent="0.2">
      <c r="A74" s="21"/>
      <c r="B74" s="21"/>
      <c r="C74" s="21"/>
      <c r="D74" s="21"/>
      <c r="E74" s="21"/>
      <c r="F74" s="21"/>
    </row>
    <row r="75" spans="1:6" hidden="1" x14ac:dyDescent="0.2">
      <c r="A75" s="21"/>
      <c r="B75" s="21"/>
      <c r="C75" s="21"/>
      <c r="D75" s="21"/>
      <c r="E75" s="21"/>
      <c r="F75" s="21"/>
    </row>
    <row r="76" spans="1:6" hidden="1" x14ac:dyDescent="0.2">
      <c r="A76" s="21"/>
      <c r="B76" s="21"/>
      <c r="C76" s="21"/>
      <c r="D76" s="21"/>
      <c r="E76" s="21"/>
      <c r="F76" s="21"/>
    </row>
    <row r="77" spans="1:6" hidden="1" x14ac:dyDescent="0.2">
      <c r="A77" s="21"/>
      <c r="B77" s="21"/>
      <c r="C77" s="21"/>
      <c r="D77" s="21"/>
      <c r="E77" s="21"/>
      <c r="F77" s="21"/>
    </row>
    <row r="78" spans="1:6" hidden="1" x14ac:dyDescent="0.2">
      <c r="A78" s="21"/>
      <c r="B78" s="21"/>
      <c r="C78" s="21"/>
      <c r="D78" s="21"/>
      <c r="E78" s="21"/>
      <c r="F78" s="21"/>
    </row>
    <row r="99" x14ac:dyDescent="0.2"/>
    <row r="100" x14ac:dyDescent="0.2"/>
    <row r="101" x14ac:dyDescent="0.2"/>
    <row r="102" x14ac:dyDescent="0.2"/>
    <row r="103" x14ac:dyDescent="0.2"/>
    <row r="104" x14ac:dyDescent="0.2"/>
    <row r="105" x14ac:dyDescent="0.2"/>
  </sheetData>
  <sheetProtection sheet="1" formatCells="0" insertRows="0" deleteRows="0"/>
  <dataConsolidate/>
  <mergeCells count="10">
    <mergeCell ref="E58:F58"/>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57"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31 A33:A56" xr:uid="{00000000-0002-0000-0500-000002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55" fitToHeight="0" orientation="landscape" r:id="rId1"/>
  <headerFooter alignWithMargins="0">
    <oddFooter>&amp;LCE Expense Disclosure Workbook 2021&amp;RWorksheet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5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6000000}">
          <x14:formula1>
            <xm:f>'Summary and sign-off'!$A$29:$A$30</xm:f>
          </x14:formula1>
          <xm:sqref>B7:F7</xm:sqref>
        </x14:dataValidation>
        <x14:dataValidation type="list" allowBlank="1" showInputMessage="1" showErrorMessage="1" error="Use the drop down list (at the right of the cell)" xr:uid="{00000000-0002-0000-0500-000003000000}">
          <x14:formula1>
            <xm:f>'Summary and sign-off'!$A$45:$A$46</xm:f>
          </x14:formula1>
          <xm:sqref>C11:C31 C33:C57</xm:sqref>
        </x14:dataValidation>
        <x14:dataValidation type="list" errorStyle="information" operator="greaterThan" allowBlank="1" showInputMessage="1" prompt="Provide specific $ value if possible" xr:uid="{00000000-0002-0000-0500-000004000000}">
          <x14:formula1>
            <xm:f>'Summary and sign-off'!$A$39:$A$44</xm:f>
          </x14:formula1>
          <xm:sqref>E11:E31 E33:E57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F579D7F4-D0D7-4BCB-BBEA-E7C37A64913E}">
  <ds:schemaRefs>
    <ds:schemaRef ds:uri="12165527-d881-4234-97f9-ee139a3f0c31"/>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Hayley Weel</cp:lastModifiedBy>
  <cp:revision/>
  <cp:lastPrinted>2021-07-16T04:33:41Z</cp:lastPrinted>
  <dcterms:created xsi:type="dcterms:W3CDTF">2010-10-17T20:59:02Z</dcterms:created>
  <dcterms:modified xsi:type="dcterms:W3CDTF">2022-07-27T22:42:00Z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